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ianamontoya/URG Dropbox/Mariana Montoya/ALLIED/Budgets/"/>
    </mc:Choice>
  </mc:AlternateContent>
  <xr:revisionPtr revIDLastSave="0" documentId="13_ncr:1_{7BE2CD9A-F053-1040-A7F4-847219E62B74}" xr6:coauthVersionLast="47" xr6:coauthVersionMax="47" xr10:uidLastSave="{00000000-0000-0000-0000-000000000000}"/>
  <bookViews>
    <workbookView xWindow="480" yWindow="500" windowWidth="28320" windowHeight="17500" xr2:uid="{271234FC-DE42-9A49-919F-F2FAE5ACF610}"/>
  </bookViews>
  <sheets>
    <sheet name="ALLIED + UR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8" i="1" l="1"/>
  <c r="P14" i="1"/>
  <c r="O14" i="1"/>
  <c r="O28" i="1" l="1"/>
  <c r="O21" i="1"/>
  <c r="O13" i="1"/>
  <c r="O11" i="1"/>
  <c r="O5" i="1"/>
  <c r="O6" i="1"/>
  <c r="O7" i="1"/>
  <c r="O4" i="1"/>
  <c r="O1" i="1"/>
  <c r="K33" i="1" l="1"/>
  <c r="D6" i="1"/>
  <c r="M21" i="1"/>
  <c r="N21" i="1" s="1"/>
  <c r="M11" i="1"/>
  <c r="N11" i="1" s="1"/>
  <c r="M5" i="1"/>
  <c r="N5" i="1" s="1"/>
  <c r="M7" i="1"/>
  <c r="N7" i="1" s="1"/>
  <c r="M6" i="1"/>
  <c r="N6" i="1" s="1"/>
  <c r="M4" i="1"/>
  <c r="N4" i="1" s="1"/>
  <c r="D4" i="1"/>
  <c r="D7" i="1"/>
  <c r="L7" i="1" s="1"/>
  <c r="D5" i="1"/>
  <c r="L5" i="1" s="1"/>
  <c r="H4" i="1"/>
  <c r="K4" i="1"/>
  <c r="K28" i="1" s="1"/>
  <c r="L20" i="1"/>
  <c r="I22" i="1"/>
  <c r="K22" i="1" s="1"/>
  <c r="H22" i="1"/>
  <c r="K24" i="1"/>
  <c r="K23" i="1" s="1"/>
  <c r="E24" i="1"/>
  <c r="H24" i="1" s="1"/>
  <c r="K21" i="1"/>
  <c r="H21" i="1"/>
  <c r="K20" i="1"/>
  <c r="K19" i="1" s="1"/>
  <c r="H19" i="1"/>
  <c r="K18" i="1"/>
  <c r="H18" i="1"/>
  <c r="K17" i="1"/>
  <c r="L17" i="1" s="1"/>
  <c r="K16" i="1"/>
  <c r="H16" i="1"/>
  <c r="K14" i="1"/>
  <c r="E14" i="1"/>
  <c r="H14" i="1" s="1"/>
  <c r="K13" i="1"/>
  <c r="E13" i="1"/>
  <c r="H13" i="1" s="1"/>
  <c r="K12" i="1"/>
  <c r="L12" i="1" s="1"/>
  <c r="K11" i="1"/>
  <c r="H11" i="1"/>
  <c r="K6" i="1"/>
  <c r="H6" i="1"/>
  <c r="H1" i="1"/>
  <c r="L13" i="1" l="1"/>
  <c r="D3" i="1"/>
  <c r="D31" i="1" s="1"/>
  <c r="L21" i="1"/>
  <c r="L22" i="1"/>
  <c r="L14" i="1"/>
  <c r="L18" i="1"/>
  <c r="D1" i="1"/>
  <c r="L11" i="1"/>
  <c r="L24" i="1"/>
  <c r="M13" i="1"/>
  <c r="N13" i="1" s="1"/>
  <c r="L4" i="1"/>
  <c r="L16" i="1"/>
  <c r="L6" i="1"/>
  <c r="K15" i="1"/>
  <c r="H15" i="1"/>
  <c r="H23" i="1"/>
  <c r="L23" i="1" s="1"/>
  <c r="L19" i="1"/>
  <c r="H3" i="1"/>
  <c r="H28" i="1"/>
  <c r="K3" i="1"/>
  <c r="L3" i="1" l="1"/>
  <c r="L15" i="1"/>
  <c r="L28" i="1"/>
  <c r="M28" i="1"/>
  <c r="N28" i="1" s="1"/>
  <c r="N27" i="1"/>
  <c r="M27" i="1"/>
  <c r="O27" i="1"/>
  <c r="L32" i="1"/>
  <c r="H32" i="1"/>
  <c r="H31" i="1"/>
  <c r="H30" i="1"/>
  <c r="L30" i="1"/>
  <c r="H10" i="1"/>
  <c r="H25" i="1"/>
  <c r="H27" i="1"/>
  <c r="L27" i="1"/>
  <c r="K27" i="1"/>
  <c r="K30" i="1"/>
  <c r="K31" i="1"/>
  <c r="K32" i="1"/>
  <c r="L10" i="1"/>
  <c r="K10" i="1"/>
  <c r="K25" i="1"/>
  <c r="L25" i="1"/>
  <c r="L31" i="1"/>
</calcChain>
</file>

<file path=xl/sharedStrings.xml><?xml version="1.0" encoding="utf-8"?>
<sst xmlns="http://schemas.openxmlformats.org/spreadsheetml/2006/main" count="62" uniqueCount="52">
  <si>
    <t>IC</t>
  </si>
  <si>
    <t>SSWG</t>
  </si>
  <si>
    <t>Amount</t>
  </si>
  <si>
    <t>COP</t>
  </si>
  <si>
    <t>Units</t>
  </si>
  <si>
    <t>IC Total</t>
  </si>
  <si>
    <t>Total</t>
  </si>
  <si>
    <t>TOTAL</t>
  </si>
  <si>
    <t>Salaries</t>
  </si>
  <si>
    <t>Subgrants</t>
  </si>
  <si>
    <t>Fringe Benefits</t>
  </si>
  <si>
    <t>Supplies &amp; Materials</t>
  </si>
  <si>
    <t>Contractual Services</t>
  </si>
  <si>
    <t>Interpreters URG</t>
  </si>
  <si>
    <t>Communication Costs</t>
  </si>
  <si>
    <t>Zoom</t>
  </si>
  <si>
    <t>Travel &amp; Per Diem</t>
  </si>
  <si>
    <t>Occupancy</t>
  </si>
  <si>
    <t>Other Costs</t>
  </si>
  <si>
    <t>Domain, server and hosting</t>
  </si>
  <si>
    <t>Total Direct Costs</t>
  </si>
  <si>
    <t>Indirect Costs</t>
  </si>
  <si>
    <t>Bank Fees</t>
  </si>
  <si>
    <t>Taxes</t>
  </si>
  <si>
    <t>Gen &amp; Admin. Expenses</t>
  </si>
  <si>
    <t>Total Indirect Costs</t>
  </si>
  <si>
    <t>Total Project Costs</t>
  </si>
  <si>
    <t>URG LAC Director</t>
  </si>
  <si>
    <t>Community engagement fellow</t>
  </si>
  <si>
    <t>full time ALLIED consultant - based in Africa</t>
  </si>
  <si>
    <t>Independent accountant</t>
  </si>
  <si>
    <t>Website design and development</t>
  </si>
  <si>
    <t>APP and maintainance</t>
  </si>
  <si>
    <t>Colombia workshop- URG</t>
  </si>
  <si>
    <t>Unforseen</t>
  </si>
  <si>
    <t>LAC intern</t>
  </si>
  <si>
    <t>LAC fellow</t>
  </si>
  <si>
    <t>URG GVA</t>
  </si>
  <si>
    <t>Design</t>
  </si>
  <si>
    <t>monthly total</t>
  </si>
  <si>
    <t>total in COP</t>
  </si>
  <si>
    <t>January</t>
  </si>
  <si>
    <t>February</t>
  </si>
  <si>
    <t>March</t>
  </si>
  <si>
    <t>April</t>
  </si>
  <si>
    <t>May</t>
  </si>
  <si>
    <t xml:space="preserve">June </t>
  </si>
  <si>
    <t>July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</si>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</sst>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* #,##0_-;\-&quot;$&quot;* #,##0_-;_-&quot;$&quot;* &quot;-&quot;_-;_-@_-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mediumGray">
        <fgColor rgb="FFC0C0C0"/>
        <bgColor rgb="FFC0C0C0"/>
      </patternFill>
    </fill>
    <fill>
      <patternFill patternType="solid">
        <fgColor theme="2"/>
        <bgColor indexed="64"/>
      </patternFill>
    </fill>
    <fill>
      <patternFill patternType="mediumGray">
        <f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mediumGray">
        <fgColor rgb="FFC0C0C0"/>
        <bgColor theme="4" tint="0.39997558519241921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85">
    <xf numFmtId="0" fontId="0" fillId="0" borderId="0" xfId="0"/>
    <xf numFmtId="42" fontId="3" fillId="0" borderId="3" xfId="1" applyFont="1" applyBorder="1"/>
    <xf numFmtId="42" fontId="2" fillId="3" borderId="4" xfId="1" applyFont="1" applyFill="1" applyBorder="1" applyProtection="1">
      <protection locked="0"/>
    </xf>
    <xf numFmtId="42" fontId="2" fillId="3" borderId="5" xfId="1" applyFont="1" applyFill="1" applyBorder="1" applyProtection="1">
      <protection locked="0"/>
    </xf>
    <xf numFmtId="0" fontId="2" fillId="3" borderId="5" xfId="1" applyNumberFormat="1" applyFont="1" applyFill="1" applyBorder="1" applyAlignment="1" applyProtection="1">
      <alignment horizontal="center"/>
      <protection locked="0"/>
    </xf>
    <xf numFmtId="42" fontId="2" fillId="3" borderId="6" xfId="1" applyFont="1" applyFill="1" applyBorder="1" applyProtection="1">
      <protection locked="0"/>
    </xf>
    <xf numFmtId="0" fontId="2" fillId="4" borderId="7" xfId="0" applyFont="1" applyFill="1" applyBorder="1" applyAlignment="1">
      <alignment wrapText="1"/>
    </xf>
    <xf numFmtId="42" fontId="2" fillId="5" borderId="8" xfId="1" applyFont="1" applyFill="1" applyBorder="1" applyAlignment="1" applyProtection="1">
      <alignment horizontal="left"/>
      <protection locked="0"/>
    </xf>
    <xf numFmtId="42" fontId="2" fillId="5" borderId="9" xfId="1" applyFont="1" applyFill="1" applyBorder="1" applyAlignment="1" applyProtection="1">
      <alignment horizontal="left"/>
      <protection locked="0"/>
    </xf>
    <xf numFmtId="0" fontId="2" fillId="5" borderId="9" xfId="1" applyNumberFormat="1" applyFont="1" applyFill="1" applyBorder="1" applyAlignment="1" applyProtection="1">
      <alignment horizontal="center"/>
      <protection locked="0"/>
    </xf>
    <xf numFmtId="42" fontId="2" fillId="5" borderId="10" xfId="1" applyFont="1" applyFill="1" applyBorder="1" applyAlignment="1" applyProtection="1">
      <alignment horizontal="left"/>
      <protection locked="0"/>
    </xf>
    <xf numFmtId="42" fontId="2" fillId="5" borderId="10" xfId="1" applyFont="1" applyFill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right"/>
      <protection locked="0"/>
    </xf>
    <xf numFmtId="42" fontId="5" fillId="6" borderId="12" xfId="1" applyFont="1" applyFill="1" applyBorder="1" applyAlignment="1" applyProtection="1">
      <alignment horizontal="left" indent="1"/>
      <protection locked="0"/>
    </xf>
    <xf numFmtId="42" fontId="5" fillId="6" borderId="0" xfId="1" applyFont="1" applyFill="1" applyBorder="1" applyAlignment="1" applyProtection="1">
      <alignment horizontal="left" indent="1"/>
      <protection locked="0"/>
    </xf>
    <xf numFmtId="0" fontId="5" fillId="6" borderId="0" xfId="1" applyNumberFormat="1" applyFont="1" applyFill="1" applyBorder="1" applyAlignment="1" applyProtection="1">
      <alignment horizontal="center"/>
      <protection locked="0"/>
    </xf>
    <xf numFmtId="42" fontId="5" fillId="6" borderId="13" xfId="1" applyFont="1" applyFill="1" applyBorder="1" applyAlignment="1" applyProtection="1">
      <alignment horizontal="left" indent="1"/>
      <protection locked="0"/>
    </xf>
    <xf numFmtId="42" fontId="0" fillId="0" borderId="0" xfId="0" applyNumberFormat="1"/>
    <xf numFmtId="0" fontId="2" fillId="4" borderId="14" xfId="0" applyFont="1" applyFill="1" applyBorder="1" applyAlignment="1">
      <alignment wrapText="1"/>
    </xf>
    <xf numFmtId="0" fontId="2" fillId="5" borderId="10" xfId="1" applyNumberFormat="1" applyFont="1" applyFill="1" applyBorder="1" applyAlignment="1" applyProtection="1">
      <alignment horizontal="center"/>
      <protection locked="0"/>
    </xf>
    <xf numFmtId="42" fontId="5" fillId="0" borderId="12" xfId="1" applyFont="1" applyBorder="1" applyAlignment="1" applyProtection="1">
      <alignment horizontal="left" indent="1"/>
      <protection locked="0"/>
    </xf>
    <xf numFmtId="42" fontId="5" fillId="0" borderId="0" xfId="1" applyFont="1" applyBorder="1" applyAlignment="1" applyProtection="1">
      <alignment horizontal="left" indent="1"/>
      <protection locked="0"/>
    </xf>
    <xf numFmtId="0" fontId="5" fillId="0" borderId="0" xfId="1" applyNumberFormat="1" applyFont="1" applyBorder="1" applyAlignment="1" applyProtection="1">
      <alignment horizontal="center"/>
      <protection locked="0"/>
    </xf>
    <xf numFmtId="42" fontId="5" fillId="0" borderId="13" xfId="1" applyFont="1" applyBorder="1" applyAlignment="1" applyProtection="1">
      <alignment horizontal="left" indent="1"/>
      <protection locked="0"/>
    </xf>
    <xf numFmtId="0" fontId="4" fillId="0" borderId="11" xfId="0" applyFont="1" applyBorder="1" applyAlignment="1" applyProtection="1">
      <alignment horizontal="right" indent="1"/>
      <protection locked="0"/>
    </xf>
    <xf numFmtId="0" fontId="6" fillId="7" borderId="15" xfId="0" applyFont="1" applyFill="1" applyBorder="1"/>
    <xf numFmtId="0" fontId="7" fillId="7" borderId="12" xfId="0" applyFont="1" applyFill="1" applyBorder="1"/>
    <xf numFmtId="0" fontId="7" fillId="7" borderId="0" xfId="0" applyFont="1" applyFill="1"/>
    <xf numFmtId="42" fontId="7" fillId="7" borderId="13" xfId="0" applyNumberFormat="1" applyFont="1" applyFill="1" applyBorder="1"/>
    <xf numFmtId="0" fontId="7" fillId="0" borderId="0" xfId="0" applyFont="1"/>
    <xf numFmtId="42" fontId="2" fillId="5" borderId="16" xfId="1" applyFont="1" applyFill="1" applyBorder="1" applyAlignment="1" applyProtection="1">
      <alignment horizontal="left"/>
      <protection locked="0"/>
    </xf>
    <xf numFmtId="42" fontId="2" fillId="5" borderId="17" xfId="1" applyFont="1" applyFill="1" applyBorder="1" applyAlignment="1" applyProtection="1">
      <alignment horizontal="left"/>
      <protection locked="0"/>
    </xf>
    <xf numFmtId="0" fontId="2" fillId="5" borderId="17" xfId="1" applyNumberFormat="1" applyFont="1" applyFill="1" applyBorder="1" applyAlignment="1" applyProtection="1">
      <alignment horizontal="center"/>
      <protection locked="0"/>
    </xf>
    <xf numFmtId="42" fontId="2" fillId="5" borderId="18" xfId="1" applyFont="1" applyFill="1" applyBorder="1" applyAlignment="1" applyProtection="1">
      <alignment horizontal="left"/>
      <protection locked="0"/>
    </xf>
    <xf numFmtId="42" fontId="4" fillId="8" borderId="19" xfId="1" applyFont="1" applyFill="1" applyBorder="1" applyAlignment="1" applyProtection="1">
      <alignment horizontal="left"/>
      <protection locked="0"/>
    </xf>
    <xf numFmtId="42" fontId="4" fillId="8" borderId="20" xfId="1" applyFont="1" applyFill="1" applyBorder="1" applyAlignment="1" applyProtection="1">
      <alignment horizontal="left"/>
      <protection locked="0"/>
    </xf>
    <xf numFmtId="0" fontId="4" fillId="8" borderId="20" xfId="1" applyNumberFormat="1" applyFont="1" applyFill="1" applyBorder="1" applyAlignment="1" applyProtection="1">
      <alignment horizontal="center"/>
      <protection locked="0"/>
    </xf>
    <xf numFmtId="42" fontId="4" fillId="8" borderId="21" xfId="1" applyFont="1" applyFill="1" applyBorder="1" applyAlignment="1" applyProtection="1">
      <alignment horizontal="left"/>
      <protection locked="0"/>
    </xf>
    <xf numFmtId="0" fontId="6" fillId="9" borderId="22" xfId="0" applyFont="1" applyFill="1" applyBorder="1"/>
    <xf numFmtId="0" fontId="8" fillId="9" borderId="23" xfId="0" applyFont="1" applyFill="1" applyBorder="1"/>
    <xf numFmtId="0" fontId="8" fillId="9" borderId="24" xfId="0" applyFont="1" applyFill="1" applyBorder="1"/>
    <xf numFmtId="42" fontId="7" fillId="9" borderId="25" xfId="0" applyNumberFormat="1" applyFont="1" applyFill="1" applyBorder="1"/>
    <xf numFmtId="0" fontId="8" fillId="0" borderId="0" xfId="0" applyFont="1"/>
    <xf numFmtId="0" fontId="6" fillId="10" borderId="22" xfId="0" applyFont="1" applyFill="1" applyBorder="1"/>
    <xf numFmtId="0" fontId="8" fillId="10" borderId="23" xfId="0" applyFont="1" applyFill="1" applyBorder="1"/>
    <xf numFmtId="0" fontId="8" fillId="10" borderId="24" xfId="0" applyFont="1" applyFill="1" applyBorder="1"/>
    <xf numFmtId="42" fontId="7" fillId="10" borderId="25" xfId="0" applyNumberFormat="1" applyFont="1" applyFill="1" applyBorder="1"/>
    <xf numFmtId="0" fontId="10" fillId="4" borderId="14" xfId="0" applyFont="1" applyFill="1" applyBorder="1" applyAlignment="1">
      <alignment wrapText="1"/>
    </xf>
    <xf numFmtId="42" fontId="10" fillId="5" borderId="8" xfId="1" applyFont="1" applyFill="1" applyBorder="1" applyAlignment="1" applyProtection="1">
      <alignment horizontal="left"/>
      <protection locked="0"/>
    </xf>
    <xf numFmtId="42" fontId="10" fillId="5" borderId="9" xfId="1" applyFont="1" applyFill="1" applyBorder="1" applyAlignment="1" applyProtection="1">
      <alignment horizontal="left"/>
      <protection locked="0"/>
    </xf>
    <xf numFmtId="0" fontId="10" fillId="5" borderId="9" xfId="1" applyNumberFormat="1" applyFont="1" applyFill="1" applyBorder="1" applyAlignment="1" applyProtection="1">
      <alignment horizontal="center"/>
      <protection locked="0"/>
    </xf>
    <xf numFmtId="42" fontId="10" fillId="5" borderId="10" xfId="1" applyFont="1" applyFill="1" applyBorder="1" applyAlignment="1" applyProtection="1">
      <alignment horizontal="left"/>
      <protection locked="0"/>
    </xf>
    <xf numFmtId="42" fontId="10" fillId="5" borderId="10" xfId="1" applyFont="1" applyFill="1" applyBorder="1" applyAlignment="1" applyProtection="1">
      <alignment horizontal="center"/>
      <protection locked="0"/>
    </xf>
    <xf numFmtId="0" fontId="9" fillId="0" borderId="0" xfId="0" applyFont="1"/>
    <xf numFmtId="42" fontId="2" fillId="2" borderId="1" xfId="1" applyFont="1" applyFill="1" applyBorder="1" applyAlignment="1">
      <alignment horizontal="center"/>
    </xf>
    <xf numFmtId="42" fontId="2" fillId="2" borderId="2" xfId="1" applyFont="1" applyFill="1" applyBorder="1" applyAlignment="1">
      <alignment horizontal="center"/>
    </xf>
    <xf numFmtId="42" fontId="12" fillId="0" borderId="3" xfId="1" applyFont="1" applyBorder="1"/>
    <xf numFmtId="42" fontId="2" fillId="6" borderId="13" xfId="1" applyFont="1" applyFill="1" applyBorder="1" applyAlignment="1" applyProtection="1">
      <alignment horizontal="left" indent="1"/>
      <protection locked="0"/>
    </xf>
    <xf numFmtId="42" fontId="2" fillId="0" borderId="13" xfId="1" applyFont="1" applyBorder="1" applyAlignment="1" applyProtection="1">
      <alignment horizontal="left" indent="1"/>
      <protection locked="0"/>
    </xf>
    <xf numFmtId="42" fontId="13" fillId="8" borderId="21" xfId="1" applyFont="1" applyFill="1" applyBorder="1" applyAlignment="1" applyProtection="1">
      <alignment horizontal="left"/>
      <protection locked="0"/>
    </xf>
    <xf numFmtId="0" fontId="11" fillId="0" borderId="0" xfId="0" applyFont="1"/>
    <xf numFmtId="42" fontId="5" fillId="5" borderId="10" xfId="1" applyFont="1" applyFill="1" applyBorder="1" applyAlignment="1" applyProtection="1">
      <alignment horizontal="center"/>
      <protection locked="0"/>
    </xf>
    <xf numFmtId="42" fontId="2" fillId="2" borderId="2" xfId="1" applyFont="1" applyFill="1" applyBorder="1" applyAlignment="1">
      <alignment horizontal="center"/>
    </xf>
    <xf numFmtId="42" fontId="8" fillId="9" borderId="23" xfId="0" applyNumberFormat="1" applyFont="1" applyFill="1" applyBorder="1"/>
    <xf numFmtId="42" fontId="2" fillId="2" borderId="1" xfId="1" applyFont="1" applyFill="1" applyBorder="1" applyAlignment="1">
      <alignment horizontal="center"/>
    </xf>
    <xf numFmtId="42" fontId="2" fillId="2" borderId="2" xfId="1" applyFont="1" applyFill="1" applyBorder="1" applyAlignment="1">
      <alignment horizontal="center"/>
    </xf>
    <xf numFmtId="42" fontId="2" fillId="3" borderId="0" xfId="1" applyFont="1" applyFill="1" applyBorder="1" applyProtection="1">
      <protection locked="0"/>
    </xf>
    <xf numFmtId="42" fontId="2" fillId="11" borderId="0" xfId="1" applyFont="1" applyFill="1" applyBorder="1" applyProtection="1">
      <protection locked="0"/>
    </xf>
    <xf numFmtId="0" fontId="0" fillId="2" borderId="12" xfId="0" applyFill="1" applyBorder="1" applyAlignment="1">
      <alignment horizontal="center"/>
    </xf>
    <xf numFmtId="0" fontId="0" fillId="2" borderId="0" xfId="0" applyFill="1" applyAlignment="1">
      <alignment horizontal="center"/>
    </xf>
    <xf numFmtId="42" fontId="3" fillId="0" borderId="0" xfId="1" applyFont="1" applyBorder="1"/>
    <xf numFmtId="42" fontId="2" fillId="5" borderId="0" xfId="1" applyFont="1" applyFill="1" applyBorder="1" applyAlignment="1" applyProtection="1">
      <alignment horizontal="center"/>
      <protection locked="0"/>
    </xf>
    <xf numFmtId="0" fontId="2" fillId="5" borderId="0" xfId="1" applyNumberFormat="1" applyFont="1" applyFill="1" applyBorder="1" applyAlignment="1" applyProtection="1">
      <alignment horizontal="center"/>
      <protection locked="0"/>
    </xf>
    <xf numFmtId="42" fontId="5" fillId="5" borderId="0" xfId="1" applyFont="1" applyFill="1" applyBorder="1" applyAlignment="1" applyProtection="1">
      <alignment horizontal="center"/>
      <protection locked="0"/>
    </xf>
    <xf numFmtId="42" fontId="10" fillId="5" borderId="0" xfId="1" applyFont="1" applyFill="1" applyBorder="1" applyAlignment="1" applyProtection="1">
      <alignment horizontal="center"/>
      <protection locked="0"/>
    </xf>
    <xf numFmtId="42" fontId="7" fillId="7" borderId="0" xfId="0" applyNumberFormat="1" applyFont="1" applyFill="1" applyBorder="1"/>
    <xf numFmtId="42" fontId="2" fillId="5" borderId="0" xfId="1" applyFont="1" applyFill="1" applyBorder="1" applyAlignment="1" applyProtection="1">
      <alignment horizontal="left"/>
      <protection locked="0"/>
    </xf>
    <xf numFmtId="42" fontId="4" fillId="8" borderId="0" xfId="1" applyFont="1" applyFill="1" applyBorder="1" applyAlignment="1" applyProtection="1">
      <alignment horizontal="left"/>
      <protection locked="0"/>
    </xf>
    <xf numFmtId="42" fontId="7" fillId="9" borderId="0" xfId="0" applyNumberFormat="1" applyFont="1" applyFill="1" applyBorder="1"/>
    <xf numFmtId="42" fontId="7" fillId="10" borderId="0" xfId="0" applyNumberFormat="1" applyFont="1" applyFill="1" applyBorder="1"/>
    <xf numFmtId="42" fontId="0" fillId="9" borderId="0" xfId="1" applyFont="1" applyFill="1" applyAlignment="1">
      <alignment horizontal="center"/>
    </xf>
    <xf numFmtId="42" fontId="0" fillId="0" borderId="0" xfId="1" applyFont="1"/>
    <xf numFmtId="42" fontId="9" fillId="0" borderId="0" xfId="1" applyFont="1"/>
    <xf numFmtId="42" fontId="7" fillId="0" borderId="0" xfId="1" applyFont="1"/>
    <xf numFmtId="42" fontId="8" fillId="0" borderId="0" xfId="1" applyFont="1"/>
  </cellXfs>
  <cellStyles count="2">
    <cellStyle name="Currency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64558-5F88-6441-A04C-340C849A7010}">
  <sheetPr>
    <tabColor theme="9"/>
  </sheetPr>
  <dimension ref="A1:AE34"/>
  <sheetViews>
    <sheetView tabSelected="1" zoomScale="125" zoomScaleNormal="130" workbookViewId="0">
      <selection activeCell="C13" sqref="C13"/>
    </sheetView>
  </sheetViews>
  <sheetFormatPr baseColWidth="10" defaultRowHeight="16" x14ac:dyDescent="0.2"/>
  <cols>
    <col min="1" max="1" width="39" customWidth="1"/>
    <col min="2" max="5" width="11" customWidth="1"/>
    <col min="6" max="6" width="11.5" customWidth="1"/>
    <col min="7" max="7" width="11" customWidth="1"/>
    <col min="8" max="8" width="11.83203125" customWidth="1"/>
    <col min="9" max="10" width="11" customWidth="1"/>
    <col min="11" max="11" width="11.5" customWidth="1"/>
    <col min="12" max="12" width="13.33203125" customWidth="1"/>
    <col min="13" max="13" width="18" style="60" customWidth="1"/>
    <col min="14" max="15" width="16.33203125" customWidth="1"/>
    <col min="16" max="16" width="13" style="81" bestFit="1" customWidth="1"/>
    <col min="17" max="17" width="13.83203125" style="81" customWidth="1"/>
    <col min="18" max="20" width="13" style="81" bestFit="1" customWidth="1"/>
  </cols>
  <sheetData>
    <row r="1" spans="1:31" x14ac:dyDescent="0.2">
      <c r="B1" s="54" t="s">
        <v>37</v>
      </c>
      <c r="C1" s="55"/>
      <c r="D1" s="55">
        <f>D3</f>
        <v>36500</v>
      </c>
      <c r="E1" s="64" t="s">
        <v>0</v>
      </c>
      <c r="F1" s="65"/>
      <c r="G1" s="65"/>
      <c r="H1" s="62">
        <f>125000+38000</f>
        <v>163000</v>
      </c>
      <c r="I1" s="64" t="s">
        <v>1</v>
      </c>
      <c r="J1" s="65"/>
      <c r="K1" s="62">
        <v>111667</v>
      </c>
      <c r="L1" s="1"/>
      <c r="M1" s="56"/>
      <c r="N1" s="1">
        <v>4192</v>
      </c>
      <c r="O1" s="70">
        <f>24986*4198</f>
        <v>104891228</v>
      </c>
      <c r="P1" s="80">
        <v>2022</v>
      </c>
      <c r="Q1" s="80"/>
      <c r="R1" s="80"/>
      <c r="S1" s="80"/>
      <c r="T1" s="80"/>
      <c r="U1" s="68">
        <v>2023</v>
      </c>
      <c r="V1" s="69"/>
      <c r="W1" s="69"/>
      <c r="X1" s="69"/>
      <c r="Y1" s="69"/>
      <c r="Z1" s="69"/>
      <c r="AA1" s="69"/>
      <c r="AB1" s="69"/>
      <c r="AC1" s="69"/>
      <c r="AD1" s="69"/>
      <c r="AE1" s="69"/>
    </row>
    <row r="2" spans="1:31" ht="17" thickBot="1" x14ac:dyDescent="0.25">
      <c r="B2" s="2" t="s">
        <v>2</v>
      </c>
      <c r="C2" s="4" t="s">
        <v>4</v>
      </c>
      <c r="D2" s="2" t="s">
        <v>6</v>
      </c>
      <c r="E2" s="2" t="s">
        <v>2</v>
      </c>
      <c r="F2" s="3" t="s">
        <v>3</v>
      </c>
      <c r="G2" s="4" t="s">
        <v>4</v>
      </c>
      <c r="H2" s="5" t="s">
        <v>5</v>
      </c>
      <c r="I2" s="2" t="s">
        <v>2</v>
      </c>
      <c r="J2" s="4" t="s">
        <v>4</v>
      </c>
      <c r="K2" s="5" t="s">
        <v>6</v>
      </c>
      <c r="L2" s="5" t="s">
        <v>7</v>
      </c>
      <c r="M2" s="5" t="s">
        <v>39</v>
      </c>
      <c r="N2" s="5" t="s">
        <v>40</v>
      </c>
      <c r="O2" s="66"/>
      <c r="P2" s="66" t="s">
        <v>47</v>
      </c>
      <c r="Q2" s="66" t="s">
        <v>48</v>
      </c>
      <c r="R2" s="66" t="s">
        <v>49</v>
      </c>
      <c r="S2" s="66" t="s">
        <v>50</v>
      </c>
      <c r="T2" s="66" t="s">
        <v>51</v>
      </c>
      <c r="U2" s="67" t="s">
        <v>41</v>
      </c>
      <c r="V2" s="67" t="s">
        <v>42</v>
      </c>
      <c r="W2" s="67" t="s">
        <v>43</v>
      </c>
      <c r="X2" s="67" t="s">
        <v>44</v>
      </c>
      <c r="Y2" s="67" t="s">
        <v>45</v>
      </c>
      <c r="Z2" s="67" t="s">
        <v>46</v>
      </c>
      <c r="AA2" s="67" t="s">
        <v>47</v>
      </c>
      <c r="AB2" s="67" t="s">
        <v>48</v>
      </c>
      <c r="AC2" s="67" t="s">
        <v>49</v>
      </c>
      <c r="AD2" s="67" t="s">
        <v>50</v>
      </c>
      <c r="AE2" s="67" t="s">
        <v>51</v>
      </c>
    </row>
    <row r="3" spans="1:31" ht="17" x14ac:dyDescent="0.2">
      <c r="A3" s="6" t="s">
        <v>8</v>
      </c>
      <c r="B3" s="7"/>
      <c r="C3" s="8"/>
      <c r="D3" s="7">
        <f>SUM(D4:D7)</f>
        <v>36500</v>
      </c>
      <c r="E3" s="7"/>
      <c r="F3" s="8"/>
      <c r="G3" s="9"/>
      <c r="H3" s="10">
        <f>H4+H6</f>
        <v>82258</v>
      </c>
      <c r="I3" s="7"/>
      <c r="J3" s="8"/>
      <c r="K3" s="11">
        <f>SUM(K4:K6)</f>
        <v>11242</v>
      </c>
      <c r="L3" s="11">
        <f>K3+H3+D3</f>
        <v>130000</v>
      </c>
      <c r="M3" s="11"/>
      <c r="N3" s="11"/>
      <c r="O3" s="71"/>
    </row>
    <row r="4" spans="1:31" x14ac:dyDescent="0.2">
      <c r="A4" s="12" t="s">
        <v>27</v>
      </c>
      <c r="B4" s="13">
        <v>600</v>
      </c>
      <c r="C4" s="15">
        <v>22</v>
      </c>
      <c r="D4" s="13">
        <f t="shared" ref="D4:D7" si="0">B4*C4</f>
        <v>13200</v>
      </c>
      <c r="E4" s="13">
        <v>3139</v>
      </c>
      <c r="F4" s="14"/>
      <c r="G4" s="15">
        <v>22</v>
      </c>
      <c r="H4" s="16">
        <f>E4*G4</f>
        <v>69058</v>
      </c>
      <c r="I4" s="13">
        <v>311</v>
      </c>
      <c r="J4" s="15">
        <v>22</v>
      </c>
      <c r="K4" s="16">
        <f>I4*J4</f>
        <v>6842</v>
      </c>
      <c r="L4" s="16">
        <f>D4+H4+K4</f>
        <v>89100</v>
      </c>
      <c r="M4" s="57">
        <f>B4+E4+I4</f>
        <v>4050</v>
      </c>
      <c r="N4" s="16">
        <f>M4*$N$1</f>
        <v>16977600</v>
      </c>
      <c r="O4" s="14">
        <f>M4*4198</f>
        <v>17001900</v>
      </c>
      <c r="P4" s="81">
        <v>16954607</v>
      </c>
      <c r="Q4" s="81">
        <v>16954607</v>
      </c>
      <c r="R4" s="81">
        <v>16954607</v>
      </c>
      <c r="S4" s="81">
        <v>16954607</v>
      </c>
      <c r="T4" s="81">
        <v>16954607</v>
      </c>
    </row>
    <row r="5" spans="1:31" x14ac:dyDescent="0.2">
      <c r="A5" s="12" t="s">
        <v>36</v>
      </c>
      <c r="B5" s="13">
        <v>1500</v>
      </c>
      <c r="C5" s="15">
        <v>5</v>
      </c>
      <c r="D5" s="13">
        <f>B5*C5</f>
        <v>7500</v>
      </c>
      <c r="E5" s="13"/>
      <c r="F5" s="14"/>
      <c r="G5" s="15"/>
      <c r="H5" s="16"/>
      <c r="I5" s="13"/>
      <c r="J5" s="15"/>
      <c r="K5" s="16"/>
      <c r="L5" s="16">
        <f>D5+H5+K5</f>
        <v>7500</v>
      </c>
      <c r="M5" s="57">
        <f>B5+E5+I5</f>
        <v>1500</v>
      </c>
      <c r="N5" s="16">
        <f>M5*$N$1</f>
        <v>6288000</v>
      </c>
      <c r="O5" s="14">
        <f t="shared" ref="O5:O7" si="1">M5*4198</f>
        <v>6297000</v>
      </c>
    </row>
    <row r="6" spans="1:31" x14ac:dyDescent="0.2">
      <c r="A6" s="12" t="s">
        <v>28</v>
      </c>
      <c r="B6" s="13">
        <v>400</v>
      </c>
      <c r="C6" s="15">
        <v>22</v>
      </c>
      <c r="D6" s="13">
        <f t="shared" si="0"/>
        <v>8800</v>
      </c>
      <c r="E6" s="13">
        <v>600</v>
      </c>
      <c r="F6" s="14"/>
      <c r="G6" s="15">
        <v>22</v>
      </c>
      <c r="H6" s="16">
        <f>E6*G6</f>
        <v>13200</v>
      </c>
      <c r="I6" s="13">
        <v>200</v>
      </c>
      <c r="J6" s="15">
        <v>22</v>
      </c>
      <c r="K6" s="16">
        <f>I6*J6</f>
        <v>4400</v>
      </c>
      <c r="L6" s="16">
        <f t="shared" ref="L6:L7" si="2">D6+H6+K6</f>
        <v>26400</v>
      </c>
      <c r="M6" s="57">
        <f t="shared" ref="M6" si="3">B6+E6+I6</f>
        <v>1200</v>
      </c>
      <c r="N6" s="16">
        <f t="shared" ref="N6:N7" si="4">M6*$N$1</f>
        <v>5030400</v>
      </c>
      <c r="O6" s="14">
        <f t="shared" si="1"/>
        <v>5037600</v>
      </c>
    </row>
    <row r="7" spans="1:31" x14ac:dyDescent="0.2">
      <c r="A7" s="12" t="s">
        <v>35</v>
      </c>
      <c r="B7" s="13">
        <v>700</v>
      </c>
      <c r="C7" s="15">
        <v>10</v>
      </c>
      <c r="D7" s="13">
        <f t="shared" si="0"/>
        <v>7000</v>
      </c>
      <c r="E7" s="13"/>
      <c r="F7" s="14"/>
      <c r="G7" s="15"/>
      <c r="H7" s="16"/>
      <c r="I7" s="13"/>
      <c r="J7" s="15"/>
      <c r="K7" s="16"/>
      <c r="L7" s="16">
        <f t="shared" si="2"/>
        <v>7000</v>
      </c>
      <c r="M7" s="57">
        <f>B7+E7+I7</f>
        <v>700</v>
      </c>
      <c r="N7" s="16">
        <f t="shared" si="4"/>
        <v>2934400</v>
      </c>
      <c r="O7" s="14">
        <f t="shared" si="1"/>
        <v>2938600</v>
      </c>
    </row>
    <row r="8" spans="1:31" ht="17" x14ac:dyDescent="0.2">
      <c r="A8" s="18" t="s">
        <v>10</v>
      </c>
      <c r="B8" s="7"/>
      <c r="C8" s="8"/>
      <c r="D8" s="7"/>
      <c r="E8" s="7"/>
      <c r="F8" s="8"/>
      <c r="G8" s="9"/>
      <c r="H8" s="10"/>
      <c r="I8" s="7"/>
      <c r="J8" s="8"/>
      <c r="K8" s="19"/>
      <c r="L8" s="19"/>
      <c r="M8" s="19"/>
      <c r="N8" s="19"/>
      <c r="O8" s="72"/>
    </row>
    <row r="9" spans="1:31" ht="17" x14ac:dyDescent="0.2">
      <c r="A9" s="18" t="s">
        <v>11</v>
      </c>
      <c r="B9" s="7"/>
      <c r="C9" s="8"/>
      <c r="D9" s="7"/>
      <c r="E9" s="7"/>
      <c r="F9" s="8"/>
      <c r="G9" s="9"/>
      <c r="H9" s="10"/>
      <c r="I9" s="7"/>
      <c r="J9" s="8"/>
      <c r="K9" s="19"/>
      <c r="L9" s="19"/>
      <c r="M9" s="19"/>
      <c r="N9" s="19"/>
      <c r="O9" s="72"/>
    </row>
    <row r="10" spans="1:31" ht="17" x14ac:dyDescent="0.2">
      <c r="A10" s="18" t="s">
        <v>12</v>
      </c>
      <c r="B10" s="7"/>
      <c r="C10" s="8"/>
      <c r="D10" s="7"/>
      <c r="E10" s="7"/>
      <c r="F10" s="8"/>
      <c r="G10" s="9"/>
      <c r="H10" s="10">
        <f ca="1">SUM(H8:H14)</f>
        <v>21854.033333333333</v>
      </c>
      <c r="I10" s="7"/>
      <c r="J10" s="8"/>
      <c r="K10" s="11">
        <f ca="1">SUM(K8:K14)</f>
        <v>4800</v>
      </c>
      <c r="L10" s="11">
        <f ca="1">K10+H10</f>
        <v>26654.033333333333</v>
      </c>
      <c r="M10" s="11"/>
      <c r="N10" s="11"/>
      <c r="O10" s="71"/>
    </row>
    <row r="11" spans="1:31" x14ac:dyDescent="0.2">
      <c r="A11" s="12" t="s">
        <v>29</v>
      </c>
      <c r="B11" s="20"/>
      <c r="C11" s="22"/>
      <c r="D11" s="20"/>
      <c r="E11" s="20">
        <v>750</v>
      </c>
      <c r="F11" s="21"/>
      <c r="G11" s="22">
        <v>22</v>
      </c>
      <c r="H11" s="23">
        <f t="shared" ref="H11" si="5">E11*G11</f>
        <v>16500</v>
      </c>
      <c r="I11" s="20"/>
      <c r="J11" s="22"/>
      <c r="K11" s="23">
        <f>I11*J11</f>
        <v>0</v>
      </c>
      <c r="L11" s="23">
        <f>H11+K11</f>
        <v>16500</v>
      </c>
      <c r="M11" s="58">
        <f>B11+I11+E11</f>
        <v>750</v>
      </c>
      <c r="N11" s="23">
        <f>M11*N1</f>
        <v>3144000</v>
      </c>
      <c r="O11" s="21">
        <f>M11*4198</f>
        <v>3148500</v>
      </c>
    </row>
    <row r="12" spans="1:31" x14ac:dyDescent="0.2">
      <c r="A12" s="12" t="s">
        <v>13</v>
      </c>
      <c r="B12" s="20"/>
      <c r="C12" s="22"/>
      <c r="D12" s="20"/>
      <c r="E12" s="20"/>
      <c r="F12" s="21"/>
      <c r="G12" s="22"/>
      <c r="H12" s="23"/>
      <c r="I12" s="20">
        <v>4800</v>
      </c>
      <c r="J12" s="22">
        <v>1</v>
      </c>
      <c r="K12" s="23">
        <f t="shared" ref="K12:K14" si="6">I12*J12</f>
        <v>4800</v>
      </c>
      <c r="L12" s="23">
        <f t="shared" ref="L12:L14" si="7">H12+K12</f>
        <v>4800</v>
      </c>
      <c r="M12" s="58"/>
      <c r="N12" s="23"/>
      <c r="O12" s="21"/>
    </row>
    <row r="13" spans="1:31" x14ac:dyDescent="0.2">
      <c r="A13" s="12" t="s">
        <v>30</v>
      </c>
      <c r="B13" s="20"/>
      <c r="C13" s="22"/>
      <c r="D13" s="20"/>
      <c r="E13" s="20">
        <f>500000/3600</f>
        <v>138.88888888888889</v>
      </c>
      <c r="F13" s="21"/>
      <c r="G13" s="22">
        <v>24</v>
      </c>
      <c r="H13" s="23">
        <f>E13*G13</f>
        <v>3333.333333333333</v>
      </c>
      <c r="I13" s="20"/>
      <c r="J13" s="22"/>
      <c r="K13" s="23">
        <f t="shared" si="6"/>
        <v>0</v>
      </c>
      <c r="L13" s="23">
        <f t="shared" si="7"/>
        <v>3333.333333333333</v>
      </c>
      <c r="M13" s="58">
        <f t="shared" ref="M13" si="8">B13+I13+E13</f>
        <v>138.88888888888889</v>
      </c>
      <c r="N13" s="23">
        <f>M13*N1</f>
        <v>582222.22222222225</v>
      </c>
      <c r="O13" s="21">
        <f>M13*4198</f>
        <v>583055.5555555555</v>
      </c>
      <c r="P13" s="81">
        <v>500000</v>
      </c>
      <c r="Q13" s="81">
        <v>500000</v>
      </c>
      <c r="R13" s="81">
        <v>500000</v>
      </c>
      <c r="S13" s="81">
        <v>500000</v>
      </c>
      <c r="T13" s="81">
        <v>500000</v>
      </c>
    </row>
    <row r="14" spans="1:31" x14ac:dyDescent="0.2">
      <c r="A14" s="12" t="s">
        <v>31</v>
      </c>
      <c r="B14" s="20"/>
      <c r="C14" s="22"/>
      <c r="D14" s="20"/>
      <c r="E14" s="20">
        <f>1837+(1837*10%)</f>
        <v>2020.7</v>
      </c>
      <c r="F14" s="21"/>
      <c r="G14" s="22">
        <v>1</v>
      </c>
      <c r="H14" s="23">
        <f t="shared" ref="H14" si="9">E14*G14</f>
        <v>2020.7</v>
      </c>
      <c r="I14" s="20"/>
      <c r="J14" s="22"/>
      <c r="K14" s="23">
        <f t="shared" si="6"/>
        <v>0</v>
      </c>
      <c r="L14" s="23">
        <f t="shared" si="7"/>
        <v>2020.7</v>
      </c>
      <c r="M14" s="58"/>
      <c r="N14" s="23"/>
      <c r="O14" s="21">
        <f>L14*4198</f>
        <v>8482898.5999999996</v>
      </c>
      <c r="P14" s="81">
        <f>(1837*4198)</f>
        <v>7711726</v>
      </c>
    </row>
    <row r="15" spans="1:31" ht="17" x14ac:dyDescent="0.2">
      <c r="A15" s="18" t="s">
        <v>14</v>
      </c>
      <c r="B15" s="7"/>
      <c r="C15" s="8"/>
      <c r="D15" s="7"/>
      <c r="E15" s="7"/>
      <c r="F15" s="8"/>
      <c r="G15" s="9"/>
      <c r="H15" s="10">
        <f>SUM(H16:H18)</f>
        <v>2578.38</v>
      </c>
      <c r="I15" s="7"/>
      <c r="J15" s="8"/>
      <c r="K15" s="11">
        <f>K16+K18+K17</f>
        <v>6252</v>
      </c>
      <c r="L15" s="11">
        <f>K15+H15</f>
        <v>8830.380000000001</v>
      </c>
      <c r="M15" s="11"/>
      <c r="N15" s="11"/>
      <c r="O15" s="71"/>
    </row>
    <row r="16" spans="1:31" x14ac:dyDescent="0.2">
      <c r="A16" s="12" t="s">
        <v>38</v>
      </c>
      <c r="B16" s="20"/>
      <c r="C16" s="22"/>
      <c r="D16" s="20"/>
      <c r="E16" s="20">
        <v>600</v>
      </c>
      <c r="F16" s="21"/>
      <c r="G16" s="22">
        <v>4</v>
      </c>
      <c r="H16" s="23">
        <f>G16*E16</f>
        <v>2400</v>
      </c>
      <c r="I16" s="20">
        <v>313</v>
      </c>
      <c r="J16" s="22">
        <v>4</v>
      </c>
      <c r="K16" s="23">
        <f t="shared" ref="K16:K18" si="10">I16*J16</f>
        <v>1252</v>
      </c>
      <c r="L16" s="23">
        <f>H16+K16</f>
        <v>3652</v>
      </c>
      <c r="M16" s="58"/>
      <c r="N16" s="23"/>
      <c r="O16" s="21"/>
    </row>
    <row r="17" spans="1:20" x14ac:dyDescent="0.2">
      <c r="A17" s="12" t="s">
        <v>32</v>
      </c>
      <c r="B17" s="20"/>
      <c r="C17" s="22"/>
      <c r="D17" s="20"/>
      <c r="E17" s="20"/>
      <c r="F17" s="21"/>
      <c r="G17" s="22"/>
      <c r="H17" s="23"/>
      <c r="I17" s="20">
        <v>5000</v>
      </c>
      <c r="J17" s="22">
        <v>1</v>
      </c>
      <c r="K17" s="23">
        <f t="shared" si="10"/>
        <v>5000</v>
      </c>
      <c r="L17" s="23">
        <f t="shared" ref="L17:L18" si="11">H17+K17</f>
        <v>5000</v>
      </c>
      <c r="M17" s="58"/>
      <c r="N17" s="23"/>
      <c r="O17" s="21"/>
    </row>
    <row r="18" spans="1:20" x14ac:dyDescent="0.2">
      <c r="A18" s="24" t="s">
        <v>15</v>
      </c>
      <c r="B18" s="20"/>
      <c r="C18" s="22"/>
      <c r="D18" s="20"/>
      <c r="E18" s="20">
        <v>178.38</v>
      </c>
      <c r="F18" s="21">
        <v>690745</v>
      </c>
      <c r="G18" s="22">
        <v>1</v>
      </c>
      <c r="H18" s="23">
        <f>E18</f>
        <v>178.38</v>
      </c>
      <c r="I18" s="20"/>
      <c r="J18" s="22"/>
      <c r="K18" s="23">
        <f t="shared" si="10"/>
        <v>0</v>
      </c>
      <c r="L18" s="23">
        <f t="shared" si="11"/>
        <v>178.38</v>
      </c>
      <c r="M18" s="58"/>
      <c r="N18" s="23"/>
      <c r="O18" s="21"/>
    </row>
    <row r="19" spans="1:20" ht="17" x14ac:dyDescent="0.2">
      <c r="A19" s="18" t="s">
        <v>16</v>
      </c>
      <c r="B19" s="7"/>
      <c r="C19" s="8"/>
      <c r="D19" s="7"/>
      <c r="E19" s="7"/>
      <c r="F19" s="8"/>
      <c r="G19" s="9"/>
      <c r="H19" s="10">
        <f t="shared" ref="H19" si="12">E19*G19</f>
        <v>0</v>
      </c>
      <c r="I19" s="7"/>
      <c r="J19" s="8"/>
      <c r="K19" s="11">
        <f>K20</f>
        <v>6000</v>
      </c>
      <c r="L19" s="11">
        <f>K19+H19</f>
        <v>6000</v>
      </c>
      <c r="M19" s="11"/>
      <c r="N19" s="11"/>
      <c r="O19" s="71"/>
    </row>
    <row r="20" spans="1:20" x14ac:dyDescent="0.2">
      <c r="A20" s="12" t="s">
        <v>33</v>
      </c>
      <c r="B20" s="20"/>
      <c r="C20" s="22"/>
      <c r="D20" s="20"/>
      <c r="E20" s="20"/>
      <c r="F20" s="21"/>
      <c r="G20" s="22"/>
      <c r="H20" s="23"/>
      <c r="I20" s="20">
        <v>6000</v>
      </c>
      <c r="J20" s="22">
        <v>1</v>
      </c>
      <c r="K20" s="23">
        <f>I20*J20</f>
        <v>6000</v>
      </c>
      <c r="L20" s="23">
        <f>E20+I20</f>
        <v>6000</v>
      </c>
      <c r="M20" s="58"/>
      <c r="N20" s="23"/>
      <c r="O20" s="21"/>
    </row>
    <row r="21" spans="1:20" ht="17" x14ac:dyDescent="0.2">
      <c r="A21" s="18" t="s">
        <v>17</v>
      </c>
      <c r="B21" s="7"/>
      <c r="C21" s="8"/>
      <c r="D21" s="7"/>
      <c r="E21" s="7">
        <v>240</v>
      </c>
      <c r="F21" s="8"/>
      <c r="G21" s="9">
        <v>22</v>
      </c>
      <c r="H21" s="10">
        <f>E21*G21</f>
        <v>5280</v>
      </c>
      <c r="I21" s="7"/>
      <c r="J21" s="8"/>
      <c r="K21" s="19">
        <f t="shared" ref="K21" si="13">I21*J21</f>
        <v>0</v>
      </c>
      <c r="L21" s="11">
        <f>K21+H21</f>
        <v>5280</v>
      </c>
      <c r="M21" s="11">
        <f>B21+E21+I21</f>
        <v>240</v>
      </c>
      <c r="N21" s="61">
        <f>M21*N1</f>
        <v>1006080</v>
      </c>
      <c r="O21" s="73">
        <f>M21*4198</f>
        <v>1007520</v>
      </c>
    </row>
    <row r="22" spans="1:20" s="53" customFormat="1" ht="17" x14ac:dyDescent="0.2">
      <c r="A22" s="47" t="s">
        <v>9</v>
      </c>
      <c r="B22" s="48"/>
      <c r="C22" s="49"/>
      <c r="D22" s="48"/>
      <c r="E22" s="48">
        <v>38000</v>
      </c>
      <c r="F22" s="49"/>
      <c r="G22" s="50">
        <v>1</v>
      </c>
      <c r="H22" s="51">
        <f>E22*G22</f>
        <v>38000</v>
      </c>
      <c r="I22" s="48">
        <f>29000+3300+10000+37106</f>
        <v>79406</v>
      </c>
      <c r="J22" s="49">
        <v>1</v>
      </c>
      <c r="K22" s="52">
        <f>I22</f>
        <v>79406</v>
      </c>
      <c r="L22" s="52">
        <f>K22+H22</f>
        <v>117406</v>
      </c>
      <c r="M22" s="52"/>
      <c r="N22" s="52"/>
      <c r="O22" s="74"/>
      <c r="P22" s="82"/>
      <c r="Q22" s="82"/>
      <c r="R22" s="82"/>
      <c r="S22" s="82"/>
      <c r="T22" s="82"/>
    </row>
    <row r="23" spans="1:20" ht="17" x14ac:dyDescent="0.2">
      <c r="A23" s="18" t="s">
        <v>18</v>
      </c>
      <c r="B23" s="7"/>
      <c r="C23" s="8"/>
      <c r="D23" s="7"/>
      <c r="E23" s="7"/>
      <c r="F23" s="8"/>
      <c r="G23" s="9"/>
      <c r="H23" s="10">
        <f>SUM(H24:H24)</f>
        <v>192.47911678637936</v>
      </c>
      <c r="I23" s="7"/>
      <c r="J23" s="8"/>
      <c r="K23" s="11">
        <f>K24</f>
        <v>0</v>
      </c>
      <c r="L23" s="11">
        <f>K23+H23</f>
        <v>192.47911678637936</v>
      </c>
      <c r="M23" s="11"/>
      <c r="N23" s="11"/>
      <c r="O23" s="71"/>
    </row>
    <row r="24" spans="1:20" x14ac:dyDescent="0.2">
      <c r="A24" s="24" t="s">
        <v>19</v>
      </c>
      <c r="B24" s="20"/>
      <c r="C24" s="22"/>
      <c r="D24" s="20"/>
      <c r="E24" s="20">
        <f>F24/3759</f>
        <v>192.47911678637936</v>
      </c>
      <c r="F24" s="21">
        <v>723529</v>
      </c>
      <c r="G24" s="22">
        <v>1</v>
      </c>
      <c r="H24" s="23">
        <f t="shared" ref="H24" si="14">E24*G24</f>
        <v>192.47911678637936</v>
      </c>
      <c r="I24" s="20"/>
      <c r="J24" s="22"/>
      <c r="K24" s="23">
        <f t="shared" ref="K24" si="15">I24*J24</f>
        <v>0</v>
      </c>
      <c r="L24" s="23">
        <f>H24+K24</f>
        <v>192.47911678637936</v>
      </c>
      <c r="M24" s="58"/>
      <c r="N24" s="23"/>
      <c r="O24" s="21"/>
    </row>
    <row r="25" spans="1:20" s="29" customFormat="1" ht="20" thickBot="1" x14ac:dyDescent="0.3">
      <c r="A25" s="25" t="s">
        <v>20</v>
      </c>
      <c r="B25" s="26"/>
      <c r="C25" s="27"/>
      <c r="D25" s="26"/>
      <c r="E25" s="26"/>
      <c r="F25" s="27"/>
      <c r="G25" s="27"/>
      <c r="H25" s="28">
        <f ca="1">H23+H21+H19+H15+H10+H9+H8+H3+H22</f>
        <v>150804.89245011972</v>
      </c>
      <c r="I25" s="26"/>
      <c r="J25" s="27"/>
      <c r="K25" s="28">
        <f ca="1">K23+K21+K19+K15+K10+K9+K8+K3+K22</f>
        <v>0</v>
      </c>
      <c r="L25" s="28">
        <f ca="1">K25+H25</f>
        <v>260110.89245011972</v>
      </c>
      <c r="M25" s="28"/>
      <c r="N25" s="28"/>
      <c r="O25" s="75"/>
      <c r="P25" s="83"/>
      <c r="Q25" s="83"/>
      <c r="R25" s="83"/>
      <c r="S25" s="83"/>
      <c r="T25" s="83"/>
    </row>
    <row r="26" spans="1:20" ht="17" x14ac:dyDescent="0.2">
      <c r="A26" s="6" t="s">
        <v>21</v>
      </c>
      <c r="B26" s="30"/>
      <c r="C26" s="31"/>
      <c r="D26" s="30"/>
      <c r="E26" s="30"/>
      <c r="F26" s="31"/>
      <c r="G26" s="32"/>
      <c r="H26" s="33"/>
      <c r="I26" s="30"/>
      <c r="J26" s="31"/>
      <c r="K26" s="33"/>
      <c r="L26" s="33"/>
      <c r="M26" s="33"/>
      <c r="N26" s="33"/>
      <c r="O26" s="76"/>
    </row>
    <row r="27" spans="1:20" x14ac:dyDescent="0.2">
      <c r="A27" s="12" t="s">
        <v>22</v>
      </c>
      <c r="B27" s="34"/>
      <c r="C27" s="35"/>
      <c r="D27" s="34"/>
      <c r="E27" s="34"/>
      <c r="F27" s="35"/>
      <c r="G27" s="36"/>
      <c r="H27" s="37">
        <f ca="1">H25*0.0045+7</f>
        <v>685.62201602553864</v>
      </c>
      <c r="I27" s="34"/>
      <c r="J27" s="35"/>
      <c r="K27" s="37">
        <f ca="1">K25*0.004+14</f>
        <v>451.22399999999999</v>
      </c>
      <c r="L27" s="37">
        <f ca="1">H27+K27</f>
        <v>1136.8460160255386</v>
      </c>
      <c r="M27" s="59">
        <f ca="1">(H27+K27)/22</f>
        <v>51.674818910251751</v>
      </c>
      <c r="N27" s="37">
        <f ca="1">M27*N1</f>
        <v>196364.31185895664</v>
      </c>
      <c r="O27" s="77">
        <f ca="1">M27*4198</f>
        <v>0</v>
      </c>
    </row>
    <row r="28" spans="1:20" x14ac:dyDescent="0.2">
      <c r="A28" s="12" t="s">
        <v>23</v>
      </c>
      <c r="B28" s="34"/>
      <c r="C28" s="35"/>
      <c r="D28" s="34"/>
      <c r="E28" s="34"/>
      <c r="F28" s="35"/>
      <c r="G28" s="36"/>
      <c r="H28" s="37">
        <f>H4*16%</f>
        <v>11049.28</v>
      </c>
      <c r="I28" s="34"/>
      <c r="J28" s="35"/>
      <c r="K28" s="37">
        <f>K4*16%</f>
        <v>1094.72</v>
      </c>
      <c r="L28" s="37">
        <f>H28+K28</f>
        <v>12144</v>
      </c>
      <c r="M28" s="59">
        <f>(H28+K28)/22</f>
        <v>552</v>
      </c>
      <c r="N28" s="37">
        <f>M28*N1</f>
        <v>2313984</v>
      </c>
      <c r="O28" s="77">
        <f>M28*4198</f>
        <v>2317296</v>
      </c>
      <c r="P28" s="81">
        <f>595000+((1837*4198)*10%)</f>
        <v>1366172.6</v>
      </c>
      <c r="Q28" s="81">
        <v>595000</v>
      </c>
      <c r="R28" s="81">
        <v>595000</v>
      </c>
      <c r="S28" s="81">
        <v>595000</v>
      </c>
      <c r="T28" s="81">
        <v>595000</v>
      </c>
    </row>
    <row r="29" spans="1:20" x14ac:dyDescent="0.2">
      <c r="A29" s="12" t="s">
        <v>24</v>
      </c>
      <c r="B29" s="7"/>
      <c r="C29" s="8"/>
      <c r="D29" s="7"/>
      <c r="E29" s="7"/>
      <c r="F29" s="8"/>
      <c r="G29" s="9"/>
      <c r="H29" s="10"/>
      <c r="I29" s="7"/>
      <c r="J29" s="8"/>
      <c r="K29" s="10"/>
      <c r="L29" s="10"/>
      <c r="M29" s="10"/>
      <c r="N29" s="10"/>
      <c r="O29" s="76"/>
    </row>
    <row r="30" spans="1:20" s="29" customFormat="1" ht="19" x14ac:dyDescent="0.25">
      <c r="A30" s="25" t="s">
        <v>25</v>
      </c>
      <c r="B30" s="26"/>
      <c r="C30" s="27"/>
      <c r="D30" s="26"/>
      <c r="E30" s="26"/>
      <c r="F30" s="27"/>
      <c r="G30" s="27"/>
      <c r="H30" s="28">
        <f ca="1">H27+H28+H29</f>
        <v>11597.622016025538</v>
      </c>
      <c r="I30" s="26"/>
      <c r="J30" s="27"/>
      <c r="K30" s="28">
        <f ca="1">K27+K28+K29</f>
        <v>1507.2239999999999</v>
      </c>
      <c r="L30" s="28">
        <f ca="1">L27+L28</f>
        <v>0</v>
      </c>
      <c r="M30" s="28"/>
      <c r="N30" s="28"/>
      <c r="O30" s="75"/>
      <c r="P30" s="83"/>
      <c r="Q30" s="83"/>
      <c r="R30" s="83"/>
      <c r="S30" s="83"/>
      <c r="T30" s="83"/>
    </row>
    <row r="31" spans="1:20" s="42" customFormat="1" ht="20" thickBot="1" x14ac:dyDescent="0.3">
      <c r="A31" s="38" t="s">
        <v>26</v>
      </c>
      <c r="B31" s="39"/>
      <c r="C31" s="40"/>
      <c r="D31" s="63">
        <f>D3</f>
        <v>36500</v>
      </c>
      <c r="E31" s="39"/>
      <c r="F31" s="40"/>
      <c r="G31" s="40"/>
      <c r="H31" s="41">
        <f ca="1">H30+H25</f>
        <v>162402.51446614525</v>
      </c>
      <c r="I31" s="39"/>
      <c r="J31" s="40"/>
      <c r="K31" s="41">
        <f ca="1">K30+K25</f>
        <v>0</v>
      </c>
      <c r="L31" s="63">
        <f ca="1">L25+L30</f>
        <v>0</v>
      </c>
      <c r="M31" s="41"/>
      <c r="N31" s="41"/>
      <c r="O31" s="78"/>
      <c r="P31" s="84"/>
      <c r="Q31" s="84"/>
      <c r="R31" s="84"/>
      <c r="S31" s="84"/>
      <c r="T31" s="84"/>
    </row>
    <row r="32" spans="1:20" s="42" customFormat="1" ht="20" thickBot="1" x14ac:dyDescent="0.3">
      <c r="A32" s="43" t="s">
        <v>34</v>
      </c>
      <c r="B32" s="44"/>
      <c r="C32" s="45"/>
      <c r="D32" s="44"/>
      <c r="E32" s="44"/>
      <c r="F32" s="45"/>
      <c r="G32" s="45"/>
      <c r="H32" s="46">
        <f ca="1">H1-H31</f>
        <v>597.48553385474952</v>
      </c>
      <c r="I32" s="44"/>
      <c r="J32" s="45"/>
      <c r="K32" s="46">
        <f ca="1">K1-K31</f>
        <v>853.77599999999802</v>
      </c>
      <c r="L32" s="46">
        <f ca="1">H32+K32</f>
        <v>1451.2615338547475</v>
      </c>
      <c r="M32" s="46"/>
      <c r="N32" s="46"/>
      <c r="O32" s="79"/>
      <c r="P32" s="84"/>
      <c r="Q32" s="84"/>
      <c r="R32" s="84"/>
      <c r="S32" s="84"/>
      <c r="T32" s="84"/>
    </row>
    <row r="33" spans="8:11" x14ac:dyDescent="0.2">
      <c r="K33">
        <f>J14</f>
        <v>0</v>
      </c>
    </row>
    <row r="34" spans="8:11" x14ac:dyDescent="0.2">
      <c r="H34" s="17"/>
    </row>
  </sheetData>
  <mergeCells count="4">
    <mergeCell ref="E1:G1"/>
    <mergeCell ref="I1:J1"/>
    <mergeCell ref="P1:T1"/>
    <mergeCell ref="U1:A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ALLIED + URG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URG</dc:creator>
  <cp:lastModifiedBy>URG</cp:lastModifiedBy>
  <dcterms:created xsi:type="dcterms:W3CDTF">2022-05-25T23:18:46Z</dcterms:created>
  <dcterms:modified xsi:type="dcterms:W3CDTF">2022-07-14T22:28:10Z</dcterms:modified>
</cp:coreProperties>
</file>