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ianamontoya/URG Dropbox/Mariana Montoya/ALLIED/"/>
    </mc:Choice>
  </mc:AlternateContent>
  <xr:revisionPtr revIDLastSave="0" documentId="13_ncr:1_{3187123E-FA28-0C4E-BB6F-05FFCD2D3D66}" xr6:coauthVersionLast="47" xr6:coauthVersionMax="47" xr10:uidLastSave="{00000000-0000-0000-0000-000000000000}"/>
  <bookViews>
    <workbookView xWindow="1820" yWindow="500" windowWidth="28740" windowHeight="19820" activeTab="3" xr2:uid="{F3715268-A020-604F-9BA5-3C252AA4E9B9}"/>
  </bookViews>
  <sheets>
    <sheet name="Timeline" sheetId="1" r:id="rId1"/>
    <sheet name="Budget SWG" sheetId="4" r:id="rId2"/>
    <sheet name="URG" sheetId="5" r:id="rId3"/>
    <sheet name="TOTAL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9" i="4" l="1"/>
  <c r="K21" i="4" s="1"/>
  <c r="H35" i="1"/>
  <c r="H36" i="1"/>
  <c r="H37" i="1"/>
  <c r="H38" i="1"/>
  <c r="H39" i="1"/>
  <c r="H40" i="1"/>
  <c r="H41" i="1"/>
  <c r="H42" i="1"/>
  <c r="H43" i="1"/>
  <c r="H34" i="1"/>
  <c r="H26" i="1"/>
  <c r="B14" i="6"/>
  <c r="F6" i="6"/>
  <c r="M11" i="6"/>
  <c r="H5" i="6" l="1"/>
  <c r="H21" i="6"/>
  <c r="F22" i="6"/>
  <c r="B13" i="6"/>
  <c r="E5" i="6"/>
  <c r="E1" i="6"/>
  <c r="L5" i="6" l="1"/>
  <c r="M5" i="6" s="1"/>
  <c r="E26" i="6"/>
  <c r="H25" i="6"/>
  <c r="H24" i="6" s="1"/>
  <c r="B25" i="6"/>
  <c r="E25" i="6" s="1"/>
  <c r="E24" i="6" s="1"/>
  <c r="H23" i="6"/>
  <c r="E23" i="6"/>
  <c r="I23" i="6" s="1"/>
  <c r="H22" i="6"/>
  <c r="H20" i="6" s="1"/>
  <c r="E20" i="6"/>
  <c r="H19" i="6"/>
  <c r="E19" i="6"/>
  <c r="H18" i="6"/>
  <c r="H17" i="6"/>
  <c r="H16" i="6"/>
  <c r="J16" i="6" s="1"/>
  <c r="E16" i="6"/>
  <c r="E15" i="6" s="1"/>
  <c r="H14" i="6"/>
  <c r="E14" i="6"/>
  <c r="H13" i="6"/>
  <c r="E13" i="6"/>
  <c r="H12" i="6"/>
  <c r="H11" i="6"/>
  <c r="L11" i="6" s="1"/>
  <c r="N11" i="6" s="1"/>
  <c r="H10" i="6"/>
  <c r="E10" i="6"/>
  <c r="H4" i="6"/>
  <c r="H30" i="6" s="1"/>
  <c r="E4" i="6"/>
  <c r="E30" i="6" s="1"/>
  <c r="D20" i="4"/>
  <c r="B20" i="4"/>
  <c r="I24" i="5"/>
  <c r="H24" i="5"/>
  <c r="I23" i="5"/>
  <c r="E20" i="5"/>
  <c r="I20" i="5" s="1"/>
  <c r="H19" i="5"/>
  <c r="B19" i="5"/>
  <c r="E19" i="5" s="1"/>
  <c r="H18" i="5"/>
  <c r="H17" i="5"/>
  <c r="E17" i="5"/>
  <c r="I17" i="5" s="1"/>
  <c r="H16" i="5"/>
  <c r="E16" i="5"/>
  <c r="E15" i="5"/>
  <c r="I15" i="5" s="1"/>
  <c r="H14" i="5"/>
  <c r="E14" i="5"/>
  <c r="H13" i="5"/>
  <c r="E13" i="5"/>
  <c r="H12" i="5"/>
  <c r="B12" i="5"/>
  <c r="E12" i="5" s="1"/>
  <c r="I12" i="5" s="1"/>
  <c r="H11" i="5"/>
  <c r="B11" i="5"/>
  <c r="E11" i="5" s="1"/>
  <c r="E8" i="5" s="1"/>
  <c r="H10" i="5"/>
  <c r="H8" i="5" s="1"/>
  <c r="H9" i="5"/>
  <c r="E9" i="5"/>
  <c r="H5" i="5"/>
  <c r="E5" i="5"/>
  <c r="H4" i="5"/>
  <c r="H3" i="5" s="1"/>
  <c r="E4" i="5"/>
  <c r="E24" i="5" s="1"/>
  <c r="E1" i="5"/>
  <c r="V25" i="4"/>
  <c r="V22" i="4"/>
  <c r="W4" i="4"/>
  <c r="H15" i="6" l="1"/>
  <c r="I15" i="6" s="1"/>
  <c r="H9" i="6"/>
  <c r="L4" i="6"/>
  <c r="O4" i="6" s="1"/>
  <c r="P4" i="6" s="1"/>
  <c r="E9" i="6"/>
  <c r="E3" i="6"/>
  <c r="I20" i="6"/>
  <c r="I24" i="6"/>
  <c r="H21" i="5"/>
  <c r="H23" i="5" s="1"/>
  <c r="H26" i="5" s="1"/>
  <c r="H27" i="5" s="1"/>
  <c r="E18" i="5"/>
  <c r="I19" i="5"/>
  <c r="E3" i="5"/>
  <c r="V19" i="4"/>
  <c r="V9" i="4"/>
  <c r="V8" i="4"/>
  <c r="V4" i="4"/>
  <c r="V5" i="4"/>
  <c r="C21" i="4"/>
  <c r="C22" i="4" s="1"/>
  <c r="V20" i="4"/>
  <c r="V18" i="4"/>
  <c r="V17" i="4"/>
  <c r="V16" i="4"/>
  <c r="V15" i="4"/>
  <c r="V14" i="4"/>
  <c r="V13" i="4"/>
  <c r="V12" i="4"/>
  <c r="V11" i="4"/>
  <c r="V10" i="4"/>
  <c r="V7" i="4"/>
  <c r="V6" i="4"/>
  <c r="F4" i="4"/>
  <c r="E4" i="4"/>
  <c r="E27" i="6" l="1"/>
  <c r="E29" i="6" s="1"/>
  <c r="E32" i="6" s="1"/>
  <c r="E33" i="6" s="1"/>
  <c r="E34" i="6" s="1"/>
  <c r="I9" i="6"/>
  <c r="M4" i="6"/>
  <c r="H6" i="6"/>
  <c r="H3" i="6" s="1"/>
  <c r="N4" i="6" s="1"/>
  <c r="E21" i="5"/>
  <c r="E23" i="5" s="1"/>
  <c r="E26" i="5" s="1"/>
  <c r="E27" i="5" s="1"/>
  <c r="E28" i="5" s="1"/>
  <c r="H6" i="1"/>
  <c r="H4" i="4"/>
  <c r="I4" i="4"/>
  <c r="J4" i="4"/>
  <c r="G4" i="4"/>
  <c r="N5" i="6" l="1"/>
  <c r="H27" i="6"/>
  <c r="E21" i="4"/>
  <c r="E22" i="4" s="1"/>
  <c r="F21" i="4"/>
  <c r="G21" i="4"/>
  <c r="G22" i="4" s="1"/>
  <c r="H21" i="4"/>
  <c r="I21" i="4"/>
  <c r="J21" i="4"/>
  <c r="L21" i="4"/>
  <c r="M21" i="4"/>
  <c r="N21" i="4"/>
  <c r="O21" i="4"/>
  <c r="P21" i="4"/>
  <c r="Q21" i="4"/>
  <c r="R21" i="4"/>
  <c r="R22" i="4" s="1"/>
  <c r="S21" i="4"/>
  <c r="S22" i="4" s="1"/>
  <c r="T21" i="4"/>
  <c r="U21" i="4"/>
  <c r="T4" i="4"/>
  <c r="Q4" i="4"/>
  <c r="P4" i="4"/>
  <c r="O4" i="4"/>
  <c r="N4" i="4"/>
  <c r="N22" i="4" s="1"/>
  <c r="M4" i="4"/>
  <c r="L4" i="4"/>
  <c r="I22" i="4"/>
  <c r="D4" i="4"/>
  <c r="K5" i="4"/>
  <c r="K7" i="4"/>
  <c r="K8" i="4"/>
  <c r="K10" i="4"/>
  <c r="K11" i="4"/>
  <c r="K12" i="4"/>
  <c r="K14" i="4"/>
  <c r="K15" i="4"/>
  <c r="K16" i="4"/>
  <c r="K17" i="4"/>
  <c r="K19" i="4"/>
  <c r="K20" i="4"/>
  <c r="D5" i="4"/>
  <c r="D7" i="4"/>
  <c r="B7" i="4" s="1"/>
  <c r="D8" i="4"/>
  <c r="B8" i="4" s="1"/>
  <c r="D9" i="4"/>
  <c r="B9" i="4" s="1"/>
  <c r="D10" i="4"/>
  <c r="D11" i="4"/>
  <c r="B11" i="4" s="1"/>
  <c r="D12" i="4"/>
  <c r="B12" i="4" s="1"/>
  <c r="D15" i="4"/>
  <c r="B15" i="4" s="1"/>
  <c r="D16" i="4"/>
  <c r="D17" i="4"/>
  <c r="D19" i="4"/>
  <c r="B19" i="4" s="1"/>
  <c r="D14" i="4"/>
  <c r="B14" i="4" s="1"/>
  <c r="H29" i="6" l="1"/>
  <c r="H32" i="6" s="1"/>
  <c r="H33" i="6" s="1"/>
  <c r="H34" i="6" s="1"/>
  <c r="I34" i="6" s="1"/>
  <c r="I27" i="6"/>
  <c r="I3" i="6"/>
  <c r="B10" i="4"/>
  <c r="B5" i="4"/>
  <c r="T22" i="4"/>
  <c r="B23" i="4"/>
  <c r="P22" i="4"/>
  <c r="U22" i="4"/>
  <c r="Q22" i="4"/>
  <c r="M22" i="4"/>
  <c r="O22" i="4"/>
  <c r="L22" i="4"/>
  <c r="J22" i="4"/>
  <c r="F22" i="4"/>
  <c r="H22" i="4"/>
  <c r="D21" i="4"/>
  <c r="D22" i="4" s="1"/>
  <c r="K4" i="4"/>
  <c r="B4" i="4" s="1"/>
  <c r="I32" i="6" l="1"/>
  <c r="J4" i="6" s="1"/>
  <c r="I33" i="6"/>
  <c r="K22" i="4"/>
  <c r="B21" i="4"/>
  <c r="B22" i="4" s="1"/>
  <c r="B24" i="4" s="1"/>
  <c r="G7" i="1"/>
  <c r="F7" i="1"/>
  <c r="H15" i="1"/>
  <c r="G12" i="1"/>
  <c r="F12" i="1"/>
  <c r="H13" i="1"/>
  <c r="H14" i="1"/>
  <c r="H16" i="1"/>
  <c r="H17" i="1"/>
  <c r="H18" i="1"/>
  <c r="H8" i="1"/>
  <c r="H9" i="1"/>
  <c r="H10" i="1"/>
  <c r="H11" i="1"/>
  <c r="H19" i="1"/>
  <c r="H20" i="1"/>
  <c r="H24" i="1"/>
  <c r="H21" i="1"/>
  <c r="H25" i="1"/>
  <c r="H22" i="1"/>
  <c r="G5" i="1" l="1"/>
  <c r="H7" i="1"/>
  <c r="F5" i="1"/>
  <c r="H12" i="1"/>
  <c r="H5" i="1" l="1"/>
</calcChain>
</file>

<file path=xl/sharedStrings.xml><?xml version="1.0" encoding="utf-8"?>
<sst xmlns="http://schemas.openxmlformats.org/spreadsheetml/2006/main" count="240" uniqueCount="158">
  <si>
    <t>WBS</t>
  </si>
  <si>
    <t>Priority</t>
  </si>
  <si>
    <t>ALLIED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</si>
  <si>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</si>
  <si>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</si>
  <si>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</si>
  <si>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</si>
  <si>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</si>
  <si>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</si>
  <si>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</si>
  <si>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</si>
  <si>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</si>
  <si>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</si>
  <si>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Jan</t>
  </si>
  <si>
    <t>Feb</t>
  </si>
  <si>
    <t>Start</t>
  </si>
  <si>
    <t>Finish</t>
  </si>
  <si>
    <t>1</t>
  </si>
  <si>
    <t>Supports WG</t>
  </si>
  <si>
    <t>NORMAL</t>
  </si>
  <si>
    <t>1.1</t>
  </si>
  <si>
    <t>1.1.1</t>
  </si>
  <si>
    <t>Develop emergency and non-emergency resource for Guatemala</t>
  </si>
  <si>
    <t>1.1.2</t>
  </si>
  <si>
    <t>Monitor impact of The Phonebook in Colombia, Mexico and Kenya</t>
  </si>
  <si>
    <t>1.1.3</t>
  </si>
  <si>
    <t>Disseminate the Phonebook Philippines</t>
  </si>
  <si>
    <t>1.2</t>
  </si>
  <si>
    <t>2</t>
  </si>
  <si>
    <t>2.1</t>
  </si>
  <si>
    <t>2.2</t>
  </si>
  <si>
    <t>1.3</t>
  </si>
  <si>
    <t>1.4</t>
  </si>
  <si>
    <t>1.5</t>
  </si>
  <si>
    <t>1.6</t>
  </si>
  <si>
    <t>1.7</t>
  </si>
  <si>
    <t>1.8</t>
  </si>
  <si>
    <t>1.9</t>
  </si>
  <si>
    <t>Activity 6: Hold a defender network exchange online to share experiences, lessons learned.  </t>
  </si>
  <si>
    <t>Budget</t>
  </si>
  <si>
    <t>1.1.4</t>
  </si>
  <si>
    <t>Develop emergency and non-emergency resource for 2 West African Countries</t>
  </si>
  <si>
    <t>Duration in months</t>
  </si>
  <si>
    <t>Brazil</t>
  </si>
  <si>
    <t>Colombia</t>
  </si>
  <si>
    <t>Guatemala</t>
  </si>
  <si>
    <t>Kenya</t>
  </si>
  <si>
    <t>Mexico</t>
  </si>
  <si>
    <t>Philippines</t>
  </si>
  <si>
    <t>1.2.2</t>
  </si>
  <si>
    <t>1.2.1</t>
  </si>
  <si>
    <t>1.2.3</t>
  </si>
  <si>
    <t>1.2.4</t>
  </si>
  <si>
    <t>1.2.5</t>
  </si>
  <si>
    <t>1.2.6</t>
  </si>
  <si>
    <t>DIRECT COSTS</t>
  </si>
  <si>
    <t>a) Personnel</t>
  </si>
  <si>
    <t>Total Personnel</t>
  </si>
  <si>
    <t>Seminars/Workshops</t>
  </si>
  <si>
    <t>Materials</t>
  </si>
  <si>
    <t>Zoom</t>
  </si>
  <si>
    <t>Website</t>
  </si>
  <si>
    <t>Website design and development</t>
  </si>
  <si>
    <t>Security for website</t>
  </si>
  <si>
    <t>Website maintenance</t>
  </si>
  <si>
    <t>Server and hosting</t>
  </si>
  <si>
    <t>Project Activities</t>
  </si>
  <si>
    <t>Design of report and related materials</t>
  </si>
  <si>
    <t>Printing and distribution of manual</t>
  </si>
  <si>
    <t>International Coordinator</t>
  </si>
  <si>
    <r>
      <t>Room rental (</t>
    </r>
    <r>
      <rPr>
        <sz val="10"/>
        <color rgb="FFFF0000"/>
        <rFont val="Bernina Sans Narrow"/>
      </rPr>
      <t>X</t>
    </r>
    <r>
      <rPr>
        <sz val="10"/>
        <rFont val="Bernina Sans Narrow"/>
      </rPr>
      <t xml:space="preserve"> seminars x </t>
    </r>
    <r>
      <rPr>
        <sz val="10"/>
        <color rgb="FFFF0000"/>
        <rFont val="Bernina Sans Narrow"/>
      </rPr>
      <t>X</t>
    </r>
    <r>
      <rPr>
        <sz val="10"/>
        <rFont val="Bernina Sans Narrow"/>
      </rPr>
      <t xml:space="preserve"> days)</t>
    </r>
  </si>
  <si>
    <r>
      <t>Interpretation services (</t>
    </r>
    <r>
      <rPr>
        <sz val="10"/>
        <color rgb="FFFF0000"/>
        <rFont val="Bernina Sans Narrow"/>
      </rPr>
      <t>X</t>
    </r>
    <r>
      <rPr>
        <sz val="10"/>
        <rFont val="Bernina Sans Narrow"/>
      </rPr>
      <t xml:space="preserve"> seminars x </t>
    </r>
    <r>
      <rPr>
        <sz val="10"/>
        <color rgb="FFFF0000"/>
        <rFont val="Bernina Sans Narrow"/>
      </rPr>
      <t>X</t>
    </r>
    <r>
      <rPr>
        <sz val="10"/>
        <rFont val="Bernina Sans Narrow"/>
      </rPr>
      <t xml:space="preserve"> days)</t>
    </r>
  </si>
  <si>
    <r>
      <t>Meals/refreshments (</t>
    </r>
    <r>
      <rPr>
        <sz val="10"/>
        <color rgb="FFFF0000"/>
        <rFont val="Bernina Sans Narrow"/>
      </rPr>
      <t>X</t>
    </r>
    <r>
      <rPr>
        <sz val="10"/>
        <rFont val="Bernina Sans Narrow"/>
      </rPr>
      <t xml:space="preserve"> participants x </t>
    </r>
    <r>
      <rPr>
        <sz val="10"/>
        <color rgb="FFFF0000"/>
        <rFont val="Bernina Sans Narrow"/>
      </rPr>
      <t>X</t>
    </r>
    <r>
      <rPr>
        <sz val="10"/>
        <rFont val="Bernina Sans Narrow"/>
      </rPr>
      <t xml:space="preserve"> days)</t>
    </r>
  </si>
  <si>
    <t>Domain, server and hosting</t>
  </si>
  <si>
    <t>TOTAL</t>
  </si>
  <si>
    <t>Amount</t>
  </si>
  <si>
    <t>Units</t>
  </si>
  <si>
    <t>Accountant</t>
  </si>
  <si>
    <t>Monitor impact of The Phonebook in Colombia</t>
  </si>
  <si>
    <t>Monitor impact of The Phonebook in Mexico</t>
  </si>
  <si>
    <t>Monitor impact of The Phonebook in Kenya</t>
  </si>
  <si>
    <t>Website design and development (Alex IT)</t>
  </si>
  <si>
    <t>Fellow Africa</t>
  </si>
  <si>
    <t>Total Other Direct Costs</t>
  </si>
  <si>
    <t>b) Other Direct Costs</t>
  </si>
  <si>
    <t>Travel + accomodation</t>
  </si>
  <si>
    <t>Bank fees</t>
  </si>
  <si>
    <t>Unforseen</t>
  </si>
  <si>
    <t>IC</t>
  </si>
  <si>
    <t>SSWG</t>
  </si>
  <si>
    <t>IC Total</t>
  </si>
  <si>
    <t>Interpreters</t>
  </si>
  <si>
    <t>Develop emergency and non-emergency resource for Guatemala and Brazil?</t>
  </si>
  <si>
    <t>Kenya - with time see if expand</t>
  </si>
  <si>
    <t>URG</t>
  </si>
  <si>
    <t>Activity 1: Kick-off defender network exchange online to identify areas of concern</t>
  </si>
  <si>
    <t>Activity 1: Kick-off building brdiges online meeting</t>
  </si>
  <si>
    <t>Activity 2. Develop emergency and non-emergency resources</t>
  </si>
  <si>
    <t>Activity 3. Hold building bridges workshops</t>
  </si>
  <si>
    <t>Activity 4. Support the development of networks of defenders and support organizations in priority countries</t>
  </si>
  <si>
    <t>Activity 2. Deverlop emergency and non-emergency resources</t>
  </si>
  <si>
    <t>Activity 5. Revise, lay out and publish the guidance developed by ALLIED to support networks to address emergency response.  </t>
  </si>
  <si>
    <r>
      <t>Activity 7:</t>
    </r>
    <r>
      <rPr>
        <b/>
        <sz val="10"/>
        <rFont val="Bernina Sans Narrow"/>
      </rPr>
      <t xml:space="preserve"> </t>
    </r>
    <r>
      <rPr>
        <b/>
        <sz val="10"/>
        <color rgb="FF1E1919"/>
        <rFont val="Bernina Sans Narrow"/>
      </rPr>
      <t>Organize a roundtable with funders to launch report on LED needs.</t>
    </r>
  </si>
  <si>
    <t>Activity 8: Identify training resources needed by defenders and upload to environment-rights.org website</t>
  </si>
  <si>
    <t>Activity 9. Create a campaign for engagement of climate activists with defenders information and reach out to climate networks to provide information that is relevant to them.</t>
  </si>
  <si>
    <t>Activity 10: Support Alliance members that seek to train their networks to access support resources, build skills in personal and digital protection. </t>
  </si>
  <si>
    <t>Activities</t>
  </si>
  <si>
    <r>
      <t xml:space="preserve">Activity 6: Hold a defender network exchange </t>
    </r>
    <r>
      <rPr>
        <u/>
        <sz val="10"/>
        <color rgb="FF000000"/>
        <rFont val="Bernina Sans Narrow"/>
      </rPr>
      <t>online or hybrid</t>
    </r>
    <r>
      <rPr>
        <b/>
        <sz val="10"/>
        <color rgb="FF000000"/>
        <rFont val="Bernina Sans Narrow"/>
      </rPr>
      <t xml:space="preserve"> to share experiences, lessons learned: thematic?</t>
    </r>
  </si>
  <si>
    <t>Activity 8. Create a campaign for engagement of climate activists with defenders information and reach out to climate networks to provide information that is relevant to them.</t>
  </si>
  <si>
    <r>
      <t>Activity 9:</t>
    </r>
    <r>
      <rPr>
        <b/>
        <sz val="10"/>
        <rFont val="Bernina Sans Narrow"/>
      </rPr>
      <t xml:space="preserve"> Identify training resources needed by defenders and upload to environment-rights.org website</t>
    </r>
  </si>
  <si>
    <r>
      <t>Activity 10:</t>
    </r>
    <r>
      <rPr>
        <b/>
        <sz val="10"/>
        <rFont val="Bernina Sans Narrow"/>
      </rPr>
      <t xml:space="preserve"> Support Alliance members that seek to train their networks to access support resources, build skills in personal and digital protection. </t>
    </r>
  </si>
  <si>
    <t>Design and comms</t>
  </si>
  <si>
    <t>COP</t>
  </si>
  <si>
    <t>Taxes</t>
  </si>
  <si>
    <t>Total Direct Costs</t>
  </si>
  <si>
    <t>Bank Fees</t>
  </si>
  <si>
    <t>Total Indirect Costs</t>
  </si>
  <si>
    <t>Trust</t>
  </si>
  <si>
    <t>Mariana</t>
  </si>
  <si>
    <t>Total</t>
  </si>
  <si>
    <t>Salaries</t>
  </si>
  <si>
    <t>URG LAC</t>
  </si>
  <si>
    <t>Fringe Benefits</t>
  </si>
  <si>
    <t>Supplies &amp; Materials</t>
  </si>
  <si>
    <t>Contractual Services</t>
  </si>
  <si>
    <t>Communication Costs</t>
  </si>
  <si>
    <t>Travel &amp; Per Diem</t>
  </si>
  <si>
    <t>Occupancy</t>
  </si>
  <si>
    <t>Other Costs</t>
  </si>
  <si>
    <t>Indirect Costs</t>
  </si>
  <si>
    <t>Gen &amp; Admin. Expenses</t>
  </si>
  <si>
    <t>Total Project Costs</t>
  </si>
  <si>
    <t>Subgrants</t>
  </si>
  <si>
    <t>Interpreters URG</t>
  </si>
  <si>
    <t>Interpreters Subgrants</t>
  </si>
  <si>
    <t>Desing and comms subgrants</t>
  </si>
  <si>
    <t>URG travel</t>
  </si>
  <si>
    <t>Subgrants travel</t>
  </si>
  <si>
    <t>Por evento</t>
  </si>
  <si>
    <t>Balance</t>
  </si>
  <si>
    <t>Support monthly LAWG learning sessions</t>
  </si>
  <si>
    <t>Support monthly DWG meetings</t>
  </si>
  <si>
    <t>Communications and engagement</t>
  </si>
  <si>
    <t>Recruit communications officer</t>
  </si>
  <si>
    <t>Develop ALLIED website</t>
  </si>
  <si>
    <t>Create and share shared calendar</t>
  </si>
  <si>
    <t>Develop document management system</t>
  </si>
  <si>
    <t>Launch internal newsletter</t>
  </si>
  <si>
    <t>Send monthly newsletter</t>
  </si>
  <si>
    <t>Create templates and institutional emails</t>
  </si>
  <si>
    <t>Reach out to memebers to identify opportunities for collaboration</t>
  </si>
  <si>
    <t>Reach out to other coallitions to explore overlaps</t>
  </si>
  <si>
    <t>Work to develop a rapid response strategy</t>
  </si>
  <si>
    <t>Support the work of working groups</t>
  </si>
  <si>
    <t>Ongoing</t>
  </si>
  <si>
    <t>na</t>
  </si>
  <si>
    <t>Community engagement</t>
  </si>
  <si>
    <t>Website development and maintainance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</si>
</sst>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$&quot;* #,##0_-;\-&quot;$&quot;* #,##0_-;_-&quot;$&quot;* &quot;-&quot;_-;_-@_-"/>
    <numFmt numFmtId="164" formatCode="0.0"/>
    <numFmt numFmtId="165" formatCode="[$]d/mm/yy;@" x16r2:formatCode16="[$-en-CO,1]d/mm/yy;@"/>
    <numFmt numFmtId="166" formatCode="[$]d/mm/yy;@"/>
  </numFmts>
  <fonts count="3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Bernina Sans Narrow"/>
    </font>
    <font>
      <b/>
      <sz val="10"/>
      <color rgb="FF000000"/>
      <name val="Bernina Sans Narrow"/>
    </font>
    <font>
      <sz val="10"/>
      <color rgb="FF000000"/>
      <name val="Bernina Sans Narrow"/>
    </font>
    <font>
      <b/>
      <sz val="10"/>
      <name val="Bernina Sans Narrow"/>
    </font>
    <font>
      <b/>
      <sz val="10"/>
      <color rgb="FF1E1919"/>
      <name val="Bernina Sans Narrow"/>
    </font>
    <font>
      <sz val="10"/>
      <name val="Bernina Sans Narrow"/>
    </font>
    <font>
      <i/>
      <sz val="10"/>
      <name val="Bernina Sans Narrow"/>
    </font>
    <font>
      <b/>
      <sz val="10"/>
      <color rgb="FFFFFFFF"/>
      <name val="Bernina Sans Narrow"/>
    </font>
    <font>
      <sz val="10"/>
      <color rgb="FF4472C4"/>
      <name val="Bernina Sans Narrow"/>
    </font>
    <font>
      <sz val="10"/>
      <color rgb="FF808080"/>
      <name val="Bernina Sans Narrow"/>
    </font>
    <font>
      <b/>
      <sz val="10"/>
      <color rgb="FF808080"/>
      <name val="Bernina Sans Narrow"/>
    </font>
    <font>
      <sz val="10"/>
      <color theme="0"/>
      <name val="Bernina Sans Narrow"/>
    </font>
    <font>
      <b/>
      <sz val="10"/>
      <color theme="0"/>
      <name val="Bernina Sans Narrow"/>
    </font>
    <font>
      <sz val="10"/>
      <color rgb="FFA8E7FE"/>
      <name val="Bernina Sans Narrow"/>
    </font>
    <font>
      <b/>
      <sz val="16"/>
      <color rgb="FFFFFFFF"/>
      <name val="Bernina Sans Narrow"/>
    </font>
    <font>
      <sz val="22"/>
      <color theme="0"/>
      <name val="Bernina Sans Narrow"/>
    </font>
    <font>
      <sz val="10"/>
      <color rgb="FFFF0000"/>
      <name val="Bernina Sans Narrow"/>
    </font>
    <font>
      <b/>
      <i/>
      <sz val="10"/>
      <name val="Bernina Sans Narrow"/>
    </font>
    <font>
      <sz val="12"/>
      <color rgb="FF000000"/>
      <name val="Bernina Sans Narrow"/>
    </font>
    <font>
      <b/>
      <sz val="12"/>
      <color theme="1"/>
      <name val="Calibri"/>
      <family val="2"/>
      <scheme val="minor"/>
    </font>
    <font>
      <u/>
      <sz val="10"/>
      <color rgb="FF000000"/>
      <name val="Bernina Sans Narrow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0"/>
      <color rgb="FFFF0000"/>
      <name val="Bernina Sans Narrow"/>
    </font>
  </fonts>
  <fills count="28">
    <fill>
      <patternFill patternType="none"/>
    </fill>
    <fill>
      <patternFill patternType="gray125"/>
    </fill>
    <fill>
      <patternFill patternType="solid">
        <fgColor rgb="FFD0F78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E5FBBD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DD7EE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mediumGray">
        <fgColor rgb="FFC0C0C0"/>
        <bgColor rgb="FFC0C0C0"/>
      </patternFill>
    </fill>
    <fill>
      <patternFill patternType="mediumGray">
        <fgColor rgb="FFC0C0C0"/>
      </patternFill>
    </fill>
    <fill>
      <patternFill patternType="mediumGray">
        <fgColor rgb="FFC0C0C0"/>
        <bgColor rgb="FFFFFFFF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2EFDA"/>
        <bgColor rgb="FF000000"/>
      </patternFill>
    </fill>
    <fill>
      <patternFill patternType="mediumGray">
        <fgColor rgb="FFC0C0C0"/>
        <bgColor rgb="FFE2EFDA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dotted">
        <color rgb="FF00B0F0"/>
      </right>
      <top style="thin">
        <color rgb="FF00B0F0"/>
      </top>
      <bottom style="thin">
        <color rgb="FF00B0F0"/>
      </bottom>
      <diagonal/>
    </border>
    <border>
      <left style="dotted">
        <color rgb="FF00B0F0"/>
      </left>
      <right style="dotted">
        <color rgb="FF00B0F0"/>
      </right>
      <top style="thin">
        <color rgb="FF00B0F0"/>
      </top>
      <bottom style="thin">
        <color rgb="FF00B0F0"/>
      </bottom>
      <diagonal/>
    </border>
    <border>
      <left/>
      <right style="dotted">
        <color rgb="FF00B0F0"/>
      </right>
      <top style="thin">
        <color rgb="FF00B0F0"/>
      </top>
      <bottom/>
      <diagonal/>
    </border>
    <border>
      <left style="dotted">
        <color rgb="FF00B0F0"/>
      </left>
      <right style="dotted">
        <color rgb="FF00B0F0"/>
      </right>
      <top style="thin">
        <color rgb="FF00B0F0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CCFFFF"/>
      </bottom>
      <diagonal/>
    </border>
    <border>
      <left/>
      <right/>
      <top style="medium">
        <color indexed="64"/>
      </top>
      <bottom style="thin">
        <color rgb="FFCCFFFF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rgb="FFCCFFFF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rgb="FF00B0F0"/>
      </left>
      <right/>
      <top style="thin">
        <color rgb="FF00B0F0"/>
      </top>
      <bottom style="thin">
        <color rgb="FF00B0F0"/>
      </bottom>
      <diagonal/>
    </border>
    <border>
      <left style="dotted">
        <color rgb="FF00B0F0"/>
      </left>
      <right/>
      <top style="thin">
        <color rgb="FF00B0F0"/>
      </top>
      <bottom/>
      <diagonal/>
    </border>
    <border>
      <left style="thin">
        <color indexed="64"/>
      </left>
      <right style="dotted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indexed="64"/>
      </left>
      <right style="dotted">
        <color rgb="FF00B0F0"/>
      </right>
      <top style="thin">
        <color rgb="FF00B0F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215">
    <xf numFmtId="0" fontId="0" fillId="0" borderId="0" xfId="0"/>
    <xf numFmtId="0" fontId="5" fillId="7" borderId="5" xfId="0" applyFont="1" applyFill="1" applyBorder="1" applyAlignment="1">
      <alignment horizontal="center" vertical="center"/>
    </xf>
    <xf numFmtId="0" fontId="3" fillId="0" borderId="5" xfId="0" applyFont="1" applyBorder="1"/>
    <xf numFmtId="0" fontId="5" fillId="0" borderId="4" xfId="0" applyFont="1" applyBorder="1" applyAlignment="1">
      <alignment horizontal="center" vertical="center"/>
    </xf>
    <xf numFmtId="49" fontId="12" fillId="0" borderId="5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165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9" fontId="13" fillId="0" borderId="5" xfId="0" applyNumberFormat="1" applyFont="1" applyBorder="1" applyAlignment="1">
      <alignment horizontal="left" vertical="center"/>
    </xf>
    <xf numFmtId="0" fontId="5" fillId="3" borderId="5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49" fontId="5" fillId="5" borderId="5" xfId="0" applyNumberFormat="1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/>
    </xf>
    <xf numFmtId="165" fontId="5" fillId="5" borderId="5" xfId="0" applyNumberFormat="1" applyFont="1" applyFill="1" applyBorder="1" applyAlignment="1">
      <alignment horizontal="center" vertical="center"/>
    </xf>
    <xf numFmtId="0" fontId="3" fillId="4" borderId="5" xfId="0" applyFont="1" applyFill="1" applyBorder="1"/>
    <xf numFmtId="0" fontId="14" fillId="7" borderId="4" xfId="0" applyFont="1" applyFill="1" applyBorder="1" applyAlignment="1">
      <alignment horizontal="center" vertical="center"/>
    </xf>
    <xf numFmtId="49" fontId="15" fillId="7" borderId="5" xfId="0" applyNumberFormat="1" applyFont="1" applyFill="1" applyBorder="1" applyAlignment="1">
      <alignment horizontal="left" vertical="center"/>
    </xf>
    <xf numFmtId="0" fontId="15" fillId="7" borderId="5" xfId="0" applyFont="1" applyFill="1" applyBorder="1" applyAlignment="1">
      <alignment horizontal="left" vertical="center" wrapText="1"/>
    </xf>
    <xf numFmtId="0" fontId="15" fillId="7" borderId="5" xfId="0" applyFont="1" applyFill="1" applyBorder="1" applyAlignment="1">
      <alignment horizontal="center" vertical="center"/>
    </xf>
    <xf numFmtId="165" fontId="14" fillId="7" borderId="5" xfId="0" applyNumberFormat="1" applyFont="1" applyFill="1" applyBorder="1" applyAlignment="1">
      <alignment horizontal="center" vertical="center"/>
    </xf>
    <xf numFmtId="164" fontId="14" fillId="7" borderId="5" xfId="0" applyNumberFormat="1" applyFont="1" applyFill="1" applyBorder="1" applyAlignment="1">
      <alignment horizontal="center" vertical="center"/>
    </xf>
    <xf numFmtId="0" fontId="14" fillId="7" borderId="5" xfId="0" applyFont="1" applyFill="1" applyBorder="1" applyAlignment="1">
      <alignment horizontal="left" vertical="center"/>
    </xf>
    <xf numFmtId="0" fontId="14" fillId="7" borderId="5" xfId="0" applyFont="1" applyFill="1" applyBorder="1"/>
    <xf numFmtId="0" fontId="16" fillId="6" borderId="4" xfId="0" applyFont="1" applyFill="1" applyBorder="1" applyAlignment="1">
      <alignment horizontal="center" vertical="center"/>
    </xf>
    <xf numFmtId="49" fontId="4" fillId="6" borderId="5" xfId="0" applyNumberFormat="1" applyFont="1" applyFill="1" applyBorder="1" applyAlignment="1">
      <alignment horizontal="left" vertical="center"/>
    </xf>
    <xf numFmtId="0" fontId="4" fillId="6" borderId="5" xfId="0" applyFont="1" applyFill="1" applyBorder="1" applyAlignment="1">
      <alignment horizontal="left" vertical="center" wrapText="1"/>
    </xf>
    <xf numFmtId="0" fontId="10" fillId="6" borderId="5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left" vertical="center"/>
    </xf>
    <xf numFmtId="165" fontId="5" fillId="6" borderId="5" xfId="0" applyNumberFormat="1" applyFont="1" applyFill="1" applyBorder="1" applyAlignment="1">
      <alignment horizontal="center" vertical="center"/>
    </xf>
    <xf numFmtId="164" fontId="5" fillId="6" borderId="5" xfId="0" applyNumberFormat="1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left" vertical="center"/>
    </xf>
    <xf numFmtId="0" fontId="5" fillId="6" borderId="5" xfId="0" applyFont="1" applyFill="1" applyBorder="1"/>
    <xf numFmtId="0" fontId="5" fillId="11" borderId="5" xfId="0" applyFont="1" applyFill="1" applyBorder="1"/>
    <xf numFmtId="0" fontId="16" fillId="8" borderId="4" xfId="0" applyFont="1" applyFill="1" applyBorder="1" applyAlignment="1">
      <alignment horizontal="center" vertical="center"/>
    </xf>
    <xf numFmtId="49" fontId="5" fillId="8" borderId="5" xfId="0" applyNumberFormat="1" applyFont="1" applyFill="1" applyBorder="1" applyAlignment="1">
      <alignment horizontal="left" vertical="center"/>
    </xf>
    <xf numFmtId="0" fontId="5" fillId="8" borderId="5" xfId="0" applyFont="1" applyFill="1" applyBorder="1" applyAlignment="1">
      <alignment horizontal="left" vertical="center" wrapText="1"/>
    </xf>
    <xf numFmtId="0" fontId="10" fillId="8" borderId="5" xfId="0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left" vertical="center"/>
    </xf>
    <xf numFmtId="165" fontId="5" fillId="8" borderId="5" xfId="0" applyNumberFormat="1" applyFont="1" applyFill="1" applyBorder="1" applyAlignment="1">
      <alignment horizontal="center" vertical="center"/>
    </xf>
    <xf numFmtId="164" fontId="4" fillId="8" borderId="5" xfId="0" applyNumberFormat="1" applyFont="1" applyFill="1" applyBorder="1" applyAlignment="1">
      <alignment horizontal="center" vertical="center"/>
    </xf>
    <xf numFmtId="0" fontId="5" fillId="8" borderId="5" xfId="0" applyFont="1" applyFill="1" applyBorder="1"/>
    <xf numFmtId="0" fontId="5" fillId="8" borderId="5" xfId="0" applyFont="1" applyFill="1" applyBorder="1" applyAlignment="1">
      <alignment horizontal="left" vertical="center"/>
    </xf>
    <xf numFmtId="164" fontId="5" fillId="8" borderId="5" xfId="0" applyNumberFormat="1" applyFont="1" applyFill="1" applyBorder="1" applyAlignment="1">
      <alignment horizontal="center" vertical="center"/>
    </xf>
    <xf numFmtId="49" fontId="5" fillId="6" borderId="5" xfId="0" applyNumberFormat="1" applyFont="1" applyFill="1" applyBorder="1" applyAlignment="1">
      <alignment horizontal="left" vertical="center"/>
    </xf>
    <xf numFmtId="0" fontId="5" fillId="6" borderId="5" xfId="0" applyFont="1" applyFill="1" applyBorder="1" applyAlignment="1">
      <alignment horizontal="left" vertical="center"/>
    </xf>
    <xf numFmtId="49" fontId="5" fillId="0" borderId="5" xfId="0" applyNumberFormat="1" applyFont="1" applyBorder="1" applyAlignment="1">
      <alignment horizontal="left" vertical="center"/>
    </xf>
    <xf numFmtId="42" fontId="15" fillId="7" borderId="5" xfId="1" applyFont="1" applyFill="1" applyBorder="1" applyAlignment="1">
      <alignment horizontal="left" vertical="center"/>
    </xf>
    <xf numFmtId="0" fontId="16" fillId="6" borderId="6" xfId="0" applyFont="1" applyFill="1" applyBorder="1" applyAlignment="1">
      <alignment horizontal="center" vertical="center"/>
    </xf>
    <xf numFmtId="49" fontId="5" fillId="6" borderId="7" xfId="0" applyNumberFormat="1" applyFont="1" applyFill="1" applyBorder="1" applyAlignment="1">
      <alignment horizontal="left" vertical="center"/>
    </xf>
    <xf numFmtId="0" fontId="4" fillId="6" borderId="7" xfId="0" applyFont="1" applyFill="1" applyBorder="1" applyAlignment="1">
      <alignment horizontal="left" vertical="center" wrapText="1"/>
    </xf>
    <xf numFmtId="0" fontId="10" fillId="6" borderId="7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left" vertical="center"/>
    </xf>
    <xf numFmtId="165" fontId="5" fillId="6" borderId="7" xfId="0" applyNumberFormat="1" applyFont="1" applyFill="1" applyBorder="1" applyAlignment="1">
      <alignment horizontal="center" vertical="center"/>
    </xf>
    <xf numFmtId="164" fontId="5" fillId="6" borderId="7" xfId="0" applyNumberFormat="1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left" vertical="center"/>
    </xf>
    <xf numFmtId="0" fontId="5" fillId="11" borderId="7" xfId="0" applyFont="1" applyFill="1" applyBorder="1"/>
    <xf numFmtId="0" fontId="5" fillId="6" borderId="7" xfId="0" applyFont="1" applyFill="1" applyBorder="1"/>
    <xf numFmtId="0" fontId="5" fillId="12" borderId="4" xfId="0" applyFont="1" applyFill="1" applyBorder="1" applyAlignment="1">
      <alignment horizontal="center" vertical="center"/>
    </xf>
    <xf numFmtId="0" fontId="4" fillId="12" borderId="5" xfId="0" applyFont="1" applyFill="1" applyBorder="1" applyAlignment="1">
      <alignment horizontal="center" vertical="center"/>
    </xf>
    <xf numFmtId="0" fontId="5" fillId="12" borderId="5" xfId="0" applyFont="1" applyFill="1" applyBorder="1" applyAlignment="1">
      <alignment horizontal="left" vertical="center"/>
    </xf>
    <xf numFmtId="165" fontId="5" fillId="12" borderId="5" xfId="0" applyNumberFormat="1" applyFont="1" applyFill="1" applyBorder="1" applyAlignment="1">
      <alignment horizontal="center" vertical="center"/>
    </xf>
    <xf numFmtId="0" fontId="5" fillId="12" borderId="5" xfId="0" applyFont="1" applyFill="1" applyBorder="1" applyAlignment="1">
      <alignment horizontal="center" vertical="center"/>
    </xf>
    <xf numFmtId="0" fontId="11" fillId="12" borderId="5" xfId="0" applyFont="1" applyFill="1" applyBorder="1"/>
    <xf numFmtId="0" fontId="3" fillId="12" borderId="5" xfId="0" applyFont="1" applyFill="1" applyBorder="1"/>
    <xf numFmtId="49" fontId="17" fillId="12" borderId="5" xfId="0" applyNumberFormat="1" applyFont="1" applyFill="1" applyBorder="1" applyAlignment="1">
      <alignment horizontal="left" vertical="center"/>
    </xf>
    <xf numFmtId="0" fontId="18" fillId="12" borderId="5" xfId="0" applyFont="1" applyFill="1" applyBorder="1" applyAlignment="1">
      <alignment horizontal="left" vertical="center" wrapText="1"/>
    </xf>
    <xf numFmtId="42" fontId="0" fillId="0" borderId="0" xfId="1" applyFont="1"/>
    <xf numFmtId="42" fontId="6" fillId="13" borderId="1" xfId="1" applyFont="1" applyFill="1" applyBorder="1" applyProtection="1">
      <protection locked="0"/>
    </xf>
    <xf numFmtId="42" fontId="6" fillId="14" borderId="3" xfId="1" applyFont="1" applyFill="1" applyBorder="1" applyAlignment="1" applyProtection="1">
      <alignment horizontal="left"/>
      <protection locked="0"/>
    </xf>
    <xf numFmtId="42" fontId="9" fillId="0" borderId="2" xfId="1" applyFont="1" applyBorder="1" applyProtection="1">
      <protection locked="0"/>
    </xf>
    <xf numFmtId="42" fontId="6" fillId="15" borderId="3" xfId="1" applyFont="1" applyFill="1" applyBorder="1" applyProtection="1">
      <protection locked="0"/>
    </xf>
    <xf numFmtId="42" fontId="8" fillId="0" borderId="2" xfId="1" applyFont="1" applyBorder="1" applyAlignment="1" applyProtection="1">
      <alignment horizontal="left" indent="1"/>
      <protection locked="0"/>
    </xf>
    <xf numFmtId="42" fontId="20" fillId="0" borderId="8" xfId="1" applyFont="1" applyBorder="1" applyAlignment="1" applyProtection="1">
      <alignment horizontal="left"/>
      <protection locked="0"/>
    </xf>
    <xf numFmtId="42" fontId="0" fillId="0" borderId="0" xfId="0" applyNumberFormat="1"/>
    <xf numFmtId="42" fontId="21" fillId="0" borderId="0" xfId="1" applyFont="1"/>
    <xf numFmtId="42" fontId="4" fillId="9" borderId="12" xfId="1" applyFont="1" applyFill="1" applyBorder="1" applyAlignment="1">
      <alignment horizontal="left" vertical="center" wrapText="1"/>
    </xf>
    <xf numFmtId="42" fontId="0" fillId="0" borderId="2" xfId="1" applyFont="1" applyBorder="1"/>
    <xf numFmtId="42" fontId="9" fillId="19" borderId="1" xfId="1" applyFont="1" applyFill="1" applyBorder="1" applyProtection="1">
      <protection locked="0"/>
    </xf>
    <xf numFmtId="42" fontId="5" fillId="17" borderId="13" xfId="1" applyFont="1" applyFill="1" applyBorder="1" applyAlignment="1">
      <alignment horizontal="left" vertical="center" wrapText="1"/>
    </xf>
    <xf numFmtId="42" fontId="5" fillId="17" borderId="14" xfId="1" applyFont="1" applyFill="1" applyBorder="1" applyAlignment="1">
      <alignment horizontal="left" vertical="center" wrapText="1"/>
    </xf>
    <xf numFmtId="42" fontId="5" fillId="10" borderId="14" xfId="1" applyFont="1" applyFill="1" applyBorder="1" applyAlignment="1">
      <alignment horizontal="left" vertical="center" wrapText="1"/>
    </xf>
    <xf numFmtId="42" fontId="5" fillId="17" borderId="15" xfId="1" applyFont="1" applyFill="1" applyBorder="1" applyAlignment="1">
      <alignment horizontal="left" vertical="center" wrapText="1"/>
    </xf>
    <xf numFmtId="42" fontId="5" fillId="10" borderId="13" xfId="1" applyFont="1" applyFill="1" applyBorder="1" applyAlignment="1">
      <alignment horizontal="left" vertical="center" wrapText="1"/>
    </xf>
    <xf numFmtId="42" fontId="5" fillId="17" borderId="21" xfId="1" applyFont="1" applyFill="1" applyBorder="1" applyAlignment="1">
      <alignment horizontal="left" vertical="center" wrapText="1"/>
    </xf>
    <xf numFmtId="42" fontId="4" fillId="9" borderId="14" xfId="1" applyFont="1" applyFill="1" applyBorder="1" applyAlignment="1">
      <alignment horizontal="left" vertical="center" wrapText="1"/>
    </xf>
    <xf numFmtId="42" fontId="6" fillId="18" borderId="1" xfId="1" applyFont="1" applyFill="1" applyBorder="1" applyProtection="1">
      <protection locked="0"/>
    </xf>
    <xf numFmtId="42" fontId="6" fillId="18" borderId="16" xfId="1" applyFont="1" applyFill="1" applyBorder="1" applyProtection="1">
      <protection locked="0"/>
    </xf>
    <xf numFmtId="42" fontId="6" fillId="13" borderId="9" xfId="1" applyFont="1" applyFill="1" applyBorder="1" applyProtection="1">
      <protection locked="0"/>
    </xf>
    <xf numFmtId="42" fontId="6" fillId="18" borderId="3" xfId="1" applyFont="1" applyFill="1" applyBorder="1" applyAlignment="1" applyProtection="1">
      <alignment horizontal="left"/>
      <protection locked="0"/>
    </xf>
    <xf numFmtId="42" fontId="6" fillId="18" borderId="17" xfId="1" applyFont="1" applyFill="1" applyBorder="1" applyAlignment="1" applyProtection="1">
      <alignment horizontal="left"/>
      <protection locked="0"/>
    </xf>
    <xf numFmtId="42" fontId="6" fillId="14" borderId="10" xfId="1" applyFont="1" applyFill="1" applyBorder="1" applyAlignment="1" applyProtection="1">
      <alignment horizontal="left"/>
      <protection locked="0"/>
    </xf>
    <xf numFmtId="42" fontId="9" fillId="20" borderId="1" xfId="1" applyFont="1" applyFill="1" applyBorder="1" applyProtection="1">
      <protection locked="0"/>
    </xf>
    <xf numFmtId="42" fontId="9" fillId="20" borderId="16" xfId="1" applyFont="1" applyFill="1" applyBorder="1" applyProtection="1">
      <protection locked="0"/>
    </xf>
    <xf numFmtId="42" fontId="9" fillId="19" borderId="9" xfId="1" applyFont="1" applyFill="1" applyBorder="1" applyProtection="1">
      <protection locked="0"/>
    </xf>
    <xf numFmtId="42" fontId="0" fillId="19" borderId="0" xfId="1" applyFont="1" applyFill="1"/>
    <xf numFmtId="42" fontId="9" fillId="17" borderId="18" xfId="1" applyFont="1" applyFill="1" applyBorder="1" applyProtection="1">
      <protection locked="0"/>
    </xf>
    <xf numFmtId="42" fontId="9" fillId="0" borderId="0" xfId="1" applyFont="1" applyBorder="1" applyProtection="1">
      <protection locked="0"/>
    </xf>
    <xf numFmtId="42" fontId="8" fillId="17" borderId="18" xfId="1" applyFont="1" applyFill="1" applyBorder="1" applyAlignment="1" applyProtection="1">
      <alignment horizontal="left" indent="1"/>
      <protection locked="0"/>
    </xf>
    <xf numFmtId="42" fontId="8" fillId="0" borderId="0" xfId="1" applyFont="1" applyBorder="1" applyAlignment="1" applyProtection="1">
      <alignment horizontal="left" indent="1"/>
      <protection locked="0"/>
    </xf>
    <xf numFmtId="42" fontId="6" fillId="18" borderId="3" xfId="1" applyFont="1" applyFill="1" applyBorder="1" applyProtection="1">
      <protection locked="0"/>
    </xf>
    <xf numFmtId="42" fontId="6" fillId="18" borderId="17" xfId="1" applyFont="1" applyFill="1" applyBorder="1" applyProtection="1">
      <protection locked="0"/>
    </xf>
    <xf numFmtId="42" fontId="6" fillId="15" borderId="10" xfId="1" applyFont="1" applyFill="1" applyBorder="1" applyProtection="1">
      <protection locked="0"/>
    </xf>
    <xf numFmtId="42" fontId="9" fillId="17" borderId="2" xfId="1" applyFont="1" applyFill="1" applyBorder="1" applyProtection="1">
      <protection locked="0"/>
    </xf>
    <xf numFmtId="42" fontId="8" fillId="17" borderId="2" xfId="1" applyFont="1" applyFill="1" applyBorder="1" applyAlignment="1" applyProtection="1">
      <alignment horizontal="left" indent="1"/>
      <protection locked="0"/>
    </xf>
    <xf numFmtId="42" fontId="0" fillId="0" borderId="0" xfId="1" applyFont="1" applyBorder="1"/>
    <xf numFmtId="42" fontId="0" fillId="0" borderId="20" xfId="1" applyFont="1" applyBorder="1"/>
    <xf numFmtId="42" fontId="9" fillId="19" borderId="2" xfId="1" applyFont="1" applyFill="1" applyBorder="1" applyAlignment="1" applyProtection="1">
      <alignment horizontal="left"/>
      <protection locked="0"/>
    </xf>
    <xf numFmtId="42" fontId="9" fillId="20" borderId="2" xfId="1" applyFont="1" applyFill="1" applyBorder="1" applyAlignment="1" applyProtection="1">
      <alignment horizontal="left"/>
      <protection locked="0"/>
    </xf>
    <xf numFmtId="42" fontId="9" fillId="20" borderId="18" xfId="1" applyFont="1" applyFill="1" applyBorder="1" applyAlignment="1" applyProtection="1">
      <alignment horizontal="left"/>
      <protection locked="0"/>
    </xf>
    <xf numFmtId="42" fontId="9" fillId="19" borderId="0" xfId="1" applyFont="1" applyFill="1" applyBorder="1" applyAlignment="1" applyProtection="1">
      <alignment horizontal="left"/>
      <protection locked="0"/>
    </xf>
    <xf numFmtId="42" fontId="8" fillId="19" borderId="2" xfId="1" applyFont="1" applyFill="1" applyBorder="1" applyAlignment="1" applyProtection="1">
      <alignment horizontal="left" indent="1"/>
      <protection locked="0"/>
    </xf>
    <xf numFmtId="42" fontId="9" fillId="19" borderId="2" xfId="1" applyFont="1" applyFill="1" applyBorder="1" applyProtection="1">
      <protection locked="0"/>
    </xf>
    <xf numFmtId="42" fontId="9" fillId="20" borderId="2" xfId="1" applyFont="1" applyFill="1" applyBorder="1" applyProtection="1">
      <protection locked="0"/>
    </xf>
    <xf numFmtId="42" fontId="9" fillId="20" borderId="18" xfId="1" applyFont="1" applyFill="1" applyBorder="1" applyProtection="1">
      <protection locked="0"/>
    </xf>
    <xf numFmtId="42" fontId="9" fillId="19" borderId="0" xfId="1" applyFont="1" applyFill="1" applyBorder="1" applyProtection="1">
      <protection locked="0"/>
    </xf>
    <xf numFmtId="42" fontId="22" fillId="0" borderId="0" xfId="1" applyFont="1"/>
    <xf numFmtId="42" fontId="22" fillId="0" borderId="2" xfId="1" applyFont="1" applyBorder="1"/>
    <xf numFmtId="42" fontId="22" fillId="0" borderId="0" xfId="1" applyFont="1" applyBorder="1"/>
    <xf numFmtId="42" fontId="22" fillId="0" borderId="20" xfId="1" applyFont="1" applyBorder="1"/>
    <xf numFmtId="0" fontId="11" fillId="12" borderId="32" xfId="0" applyFont="1" applyFill="1" applyBorder="1"/>
    <xf numFmtId="0" fontId="5" fillId="3" borderId="32" xfId="0" applyFont="1" applyFill="1" applyBorder="1" applyAlignment="1">
      <alignment horizontal="center" vertical="center"/>
    </xf>
    <xf numFmtId="0" fontId="5" fillId="5" borderId="32" xfId="0" applyFont="1" applyFill="1" applyBorder="1" applyAlignment="1">
      <alignment horizontal="center" vertical="center"/>
    </xf>
    <xf numFmtId="0" fontId="14" fillId="7" borderId="32" xfId="0" applyFont="1" applyFill="1" applyBorder="1"/>
    <xf numFmtId="0" fontId="5" fillId="11" borderId="32" xfId="0" applyFont="1" applyFill="1" applyBorder="1"/>
    <xf numFmtId="0" fontId="5" fillId="8" borderId="32" xfId="0" applyFont="1" applyFill="1" applyBorder="1"/>
    <xf numFmtId="0" fontId="5" fillId="6" borderId="32" xfId="0" applyFont="1" applyFill="1" applyBorder="1"/>
    <xf numFmtId="0" fontId="5" fillId="11" borderId="33" xfId="0" applyFont="1" applyFill="1" applyBorder="1"/>
    <xf numFmtId="0" fontId="3" fillId="0" borderId="32" xfId="0" applyFont="1" applyBorder="1"/>
    <xf numFmtId="0" fontId="11" fillId="12" borderId="34" xfId="0" applyFont="1" applyFill="1" applyBorder="1"/>
    <xf numFmtId="0" fontId="5" fillId="3" borderId="34" xfId="0" applyFont="1" applyFill="1" applyBorder="1" applyAlignment="1">
      <alignment horizontal="center" vertical="center"/>
    </xf>
    <xf numFmtId="0" fontId="5" fillId="5" borderId="34" xfId="0" applyFont="1" applyFill="1" applyBorder="1" applyAlignment="1">
      <alignment horizontal="center" vertical="center"/>
    </xf>
    <xf numFmtId="0" fontId="14" fillId="7" borderId="34" xfId="0" applyFont="1" applyFill="1" applyBorder="1"/>
    <xf numFmtId="0" fontId="5" fillId="11" borderId="34" xfId="0" applyFont="1" applyFill="1" applyBorder="1"/>
    <xf numFmtId="0" fontId="5" fillId="8" borderId="34" xfId="0" applyFont="1" applyFill="1" applyBorder="1"/>
    <xf numFmtId="0" fontId="5" fillId="6" borderId="34" xfId="0" applyFont="1" applyFill="1" applyBorder="1"/>
    <xf numFmtId="0" fontId="5" fillId="11" borderId="35" xfId="0" applyFont="1" applyFill="1" applyBorder="1"/>
    <xf numFmtId="0" fontId="3" fillId="0" borderId="34" xfId="0" applyFont="1" applyBorder="1"/>
    <xf numFmtId="42" fontId="5" fillId="0" borderId="5" xfId="1" applyFont="1" applyBorder="1" applyAlignment="1">
      <alignment horizontal="left" vertical="center" wrapText="1"/>
    </xf>
    <xf numFmtId="42" fontId="8" fillId="23" borderId="2" xfId="1" applyFont="1" applyFill="1" applyBorder="1" applyAlignment="1" applyProtection="1">
      <alignment horizontal="left" indent="1"/>
      <protection locked="0"/>
    </xf>
    <xf numFmtId="42" fontId="25" fillId="0" borderId="15" xfId="1" applyFont="1" applyBorder="1"/>
    <xf numFmtId="42" fontId="24" fillId="13" borderId="1" xfId="1" applyFont="1" applyFill="1" applyBorder="1" applyProtection="1">
      <protection locked="0"/>
    </xf>
    <xf numFmtId="42" fontId="24" fillId="13" borderId="9" xfId="1" applyFont="1" applyFill="1" applyBorder="1" applyProtection="1">
      <protection locked="0"/>
    </xf>
    <xf numFmtId="0" fontId="24" fillId="13" borderId="9" xfId="1" applyNumberFormat="1" applyFont="1" applyFill="1" applyBorder="1" applyAlignment="1" applyProtection="1">
      <alignment horizontal="center"/>
      <protection locked="0"/>
    </xf>
    <xf numFmtId="42" fontId="24" fillId="13" borderId="22" xfId="1" applyFont="1" applyFill="1" applyBorder="1" applyProtection="1">
      <protection locked="0"/>
    </xf>
    <xf numFmtId="0" fontId="0" fillId="0" borderId="2" xfId="0" applyBorder="1"/>
    <xf numFmtId="0" fontId="0" fillId="0" borderId="20" xfId="0" applyBorder="1"/>
    <xf numFmtId="0" fontId="24" fillId="24" borderId="30" xfId="0" applyFont="1" applyFill="1" applyBorder="1" applyAlignment="1">
      <alignment wrapText="1"/>
    </xf>
    <xf numFmtId="42" fontId="24" fillId="14" borderId="3" xfId="1" applyFont="1" applyFill="1" applyBorder="1" applyAlignment="1" applyProtection="1">
      <alignment horizontal="left"/>
      <protection locked="0"/>
    </xf>
    <xf numFmtId="42" fontId="24" fillId="14" borderId="10" xfId="1" applyFont="1" applyFill="1" applyBorder="1" applyAlignment="1" applyProtection="1">
      <alignment horizontal="left"/>
      <protection locked="0"/>
    </xf>
    <xf numFmtId="0" fontId="24" fillId="14" borderId="10" xfId="1" applyNumberFormat="1" applyFont="1" applyFill="1" applyBorder="1" applyAlignment="1" applyProtection="1">
      <alignment horizontal="center"/>
      <protection locked="0"/>
    </xf>
    <xf numFmtId="42" fontId="24" fillId="14" borderId="23" xfId="1" applyFont="1" applyFill="1" applyBorder="1" applyAlignment="1" applyProtection="1">
      <alignment horizontal="left"/>
      <protection locked="0"/>
    </xf>
    <xf numFmtId="42" fontId="24" fillId="14" borderId="23" xfId="1" applyFont="1" applyFill="1" applyBorder="1" applyAlignment="1" applyProtection="1">
      <alignment horizontal="center"/>
      <protection locked="0"/>
    </xf>
    <xf numFmtId="0" fontId="26" fillId="0" borderId="18" xfId="0" applyFont="1" applyBorder="1" applyAlignment="1" applyProtection="1">
      <alignment horizontal="right"/>
      <protection locked="0"/>
    </xf>
    <xf numFmtId="42" fontId="26" fillId="19" borderId="1" xfId="1" applyFont="1" applyFill="1" applyBorder="1" applyProtection="1">
      <protection locked="0"/>
    </xf>
    <xf numFmtId="42" fontId="26" fillId="19" borderId="9" xfId="1" applyFont="1" applyFill="1" applyBorder="1" applyProtection="1">
      <protection locked="0"/>
    </xf>
    <xf numFmtId="0" fontId="26" fillId="19" borderId="9" xfId="1" applyNumberFormat="1" applyFont="1" applyFill="1" applyBorder="1" applyAlignment="1" applyProtection="1">
      <alignment horizontal="center"/>
      <protection locked="0"/>
    </xf>
    <xf numFmtId="42" fontId="26" fillId="19" borderId="22" xfId="1" applyFont="1" applyFill="1" applyBorder="1" applyProtection="1">
      <protection locked="0"/>
    </xf>
    <xf numFmtId="42" fontId="27" fillId="19" borderId="2" xfId="1" applyFont="1" applyFill="1" applyBorder="1" applyAlignment="1" applyProtection="1">
      <alignment horizontal="left" indent="1"/>
      <protection locked="0"/>
    </xf>
    <xf numFmtId="42" fontId="27" fillId="19" borderId="0" xfId="1" applyFont="1" applyFill="1" applyBorder="1" applyAlignment="1" applyProtection="1">
      <alignment horizontal="left" indent="1"/>
      <protection locked="0"/>
    </xf>
    <xf numFmtId="0" fontId="27" fillId="19" borderId="0" xfId="1" applyNumberFormat="1" applyFont="1" applyFill="1" applyBorder="1" applyAlignment="1" applyProtection="1">
      <alignment horizontal="center"/>
      <protection locked="0"/>
    </xf>
    <xf numFmtId="42" fontId="27" fillId="19" borderId="20" xfId="1" applyFont="1" applyFill="1" applyBorder="1" applyAlignment="1" applyProtection="1">
      <alignment horizontal="left" indent="1"/>
      <protection locked="0"/>
    </xf>
    <xf numFmtId="0" fontId="24" fillId="24" borderId="19" xfId="0" applyFont="1" applyFill="1" applyBorder="1" applyAlignment="1">
      <alignment wrapText="1"/>
    </xf>
    <xf numFmtId="0" fontId="24" fillId="14" borderId="23" xfId="1" applyNumberFormat="1" applyFont="1" applyFill="1" applyBorder="1" applyAlignment="1" applyProtection="1">
      <alignment horizontal="center"/>
      <protection locked="0"/>
    </xf>
    <xf numFmtId="42" fontId="27" fillId="0" borderId="2" xfId="1" applyFont="1" applyBorder="1" applyAlignment="1" applyProtection="1">
      <alignment horizontal="left" indent="1"/>
      <protection locked="0"/>
    </xf>
    <xf numFmtId="42" fontId="27" fillId="0" borderId="0" xfId="1" applyFont="1" applyBorder="1" applyAlignment="1" applyProtection="1">
      <alignment horizontal="left" indent="1"/>
      <protection locked="0"/>
    </xf>
    <xf numFmtId="0" fontId="27" fillId="0" borderId="0" xfId="1" applyNumberFormat="1" applyFont="1" applyBorder="1" applyAlignment="1" applyProtection="1">
      <alignment horizontal="center"/>
      <protection locked="0"/>
    </xf>
    <xf numFmtId="42" fontId="27" fillId="0" borderId="20" xfId="1" applyFont="1" applyBorder="1" applyAlignment="1" applyProtection="1">
      <alignment horizontal="left" indent="1"/>
      <protection locked="0"/>
    </xf>
    <xf numFmtId="0" fontId="26" fillId="0" borderId="18" xfId="0" applyFont="1" applyBorder="1" applyAlignment="1" applyProtection="1">
      <alignment horizontal="left" indent="1"/>
      <protection locked="0"/>
    </xf>
    <xf numFmtId="42" fontId="27" fillId="0" borderId="0" xfId="1" applyFont="1" applyFill="1" applyBorder="1" applyAlignment="1" applyProtection="1">
      <alignment horizontal="left" indent="1"/>
      <protection locked="0"/>
    </xf>
    <xf numFmtId="0" fontId="26" fillId="0" borderId="18" xfId="0" applyFont="1" applyBorder="1" applyAlignment="1" applyProtection="1">
      <alignment horizontal="right" indent="1"/>
      <protection locked="0"/>
    </xf>
    <xf numFmtId="0" fontId="28" fillId="25" borderId="36" xfId="0" applyFont="1" applyFill="1" applyBorder="1"/>
    <xf numFmtId="0" fontId="29" fillId="25" borderId="2" xfId="0" applyFont="1" applyFill="1" applyBorder="1"/>
    <xf numFmtId="0" fontId="29" fillId="25" borderId="0" xfId="0" applyFont="1" applyFill="1"/>
    <xf numFmtId="42" fontId="29" fillId="25" borderId="20" xfId="0" applyNumberFormat="1" applyFont="1" applyFill="1" applyBorder="1"/>
    <xf numFmtId="0" fontId="29" fillId="0" borderId="0" xfId="0" applyFont="1"/>
    <xf numFmtId="42" fontId="24" fillId="14" borderId="37" xfId="1" applyFont="1" applyFill="1" applyBorder="1" applyAlignment="1" applyProtection="1">
      <alignment horizontal="left"/>
      <protection locked="0"/>
    </xf>
    <xf numFmtId="42" fontId="24" fillId="14" borderId="38" xfId="1" applyFont="1" applyFill="1" applyBorder="1" applyAlignment="1" applyProtection="1">
      <alignment horizontal="left"/>
      <protection locked="0"/>
    </xf>
    <xf numFmtId="0" fontId="24" fillId="14" borderId="38" xfId="1" applyNumberFormat="1" applyFont="1" applyFill="1" applyBorder="1" applyAlignment="1" applyProtection="1">
      <alignment horizontal="center"/>
      <protection locked="0"/>
    </xf>
    <xf numFmtId="42" fontId="24" fillId="14" borderId="39" xfId="1" applyFont="1" applyFill="1" applyBorder="1" applyAlignment="1" applyProtection="1">
      <alignment horizontal="left"/>
      <protection locked="0"/>
    </xf>
    <xf numFmtId="42" fontId="26" fillId="16" borderId="8" xfId="1" applyFont="1" applyFill="1" applyBorder="1" applyAlignment="1" applyProtection="1">
      <alignment horizontal="left"/>
      <protection locked="0"/>
    </xf>
    <xf numFmtId="42" fontId="26" fillId="16" borderId="11" xfId="1" applyFont="1" applyFill="1" applyBorder="1" applyAlignment="1" applyProtection="1">
      <alignment horizontal="left"/>
      <protection locked="0"/>
    </xf>
    <xf numFmtId="0" fontId="26" fillId="16" borderId="11" xfId="1" applyNumberFormat="1" applyFont="1" applyFill="1" applyBorder="1" applyAlignment="1" applyProtection="1">
      <alignment horizontal="center"/>
      <protection locked="0"/>
    </xf>
    <xf numFmtId="42" fontId="26" fillId="16" borderId="24" xfId="1" applyFont="1" applyFill="1" applyBorder="1" applyAlignment="1" applyProtection="1">
      <alignment horizontal="left"/>
      <protection locked="0"/>
    </xf>
    <xf numFmtId="42" fontId="26" fillId="0" borderId="0" xfId="1" applyFont="1" applyFill="1" applyBorder="1" applyAlignment="1" applyProtection="1">
      <alignment horizontal="left"/>
      <protection locked="0"/>
    </xf>
    <xf numFmtId="0" fontId="28" fillId="26" borderId="31" xfId="0" applyFont="1" applyFill="1" applyBorder="1"/>
    <xf numFmtId="0" fontId="30" fillId="26" borderId="27" xfId="0" applyFont="1" applyFill="1" applyBorder="1"/>
    <xf numFmtId="0" fontId="30" fillId="26" borderId="28" xfId="0" applyFont="1" applyFill="1" applyBorder="1"/>
    <xf numFmtId="42" fontId="29" fillId="26" borderId="29" xfId="0" applyNumberFormat="1" applyFont="1" applyFill="1" applyBorder="1"/>
    <xf numFmtId="0" fontId="30" fillId="0" borderId="0" xfId="0" applyFont="1"/>
    <xf numFmtId="42" fontId="31" fillId="23" borderId="1" xfId="1" applyFont="1" applyFill="1" applyBorder="1" applyProtection="1">
      <protection locked="0"/>
    </xf>
    <xf numFmtId="42" fontId="19" fillId="23" borderId="2" xfId="1" applyFont="1" applyFill="1" applyBorder="1" applyAlignment="1" applyProtection="1">
      <alignment horizontal="left" indent="1"/>
      <protection locked="0"/>
    </xf>
    <xf numFmtId="42" fontId="19" fillId="0" borderId="2" xfId="1" applyFont="1" applyBorder="1" applyAlignment="1" applyProtection="1">
      <alignment horizontal="left" indent="1"/>
      <protection locked="0"/>
    </xf>
    <xf numFmtId="42" fontId="24" fillId="14" borderId="23" xfId="1" applyNumberFormat="1" applyFont="1" applyFill="1" applyBorder="1" applyAlignment="1" applyProtection="1">
      <alignment horizontal="center"/>
      <protection locked="0"/>
    </xf>
    <xf numFmtId="0" fontId="28" fillId="27" borderId="31" xfId="0" applyFont="1" applyFill="1" applyBorder="1"/>
    <xf numFmtId="0" fontId="30" fillId="27" borderId="27" xfId="0" applyFont="1" applyFill="1" applyBorder="1"/>
    <xf numFmtId="0" fontId="30" fillId="27" borderId="28" xfId="0" applyFont="1" applyFill="1" applyBorder="1"/>
    <xf numFmtId="42" fontId="29" fillId="27" borderId="29" xfId="0" applyNumberFormat="1" applyFont="1" applyFill="1" applyBorder="1"/>
    <xf numFmtId="166" fontId="5" fillId="10" borderId="5" xfId="0" applyNumberFormat="1" applyFont="1" applyFill="1" applyBorder="1" applyAlignment="1">
      <alignment horizontal="center" vertical="center"/>
    </xf>
    <xf numFmtId="42" fontId="25" fillId="0" borderId="0" xfId="1" applyFont="1" applyFill="1" applyBorder="1"/>
    <xf numFmtId="42" fontId="24" fillId="0" borderId="0" xfId="1" applyFont="1" applyFill="1" applyBorder="1" applyProtection="1">
      <protection locked="0"/>
    </xf>
    <xf numFmtId="42" fontId="24" fillId="0" borderId="0" xfId="1" applyFont="1" applyFill="1" applyBorder="1" applyAlignment="1" applyProtection="1">
      <alignment horizontal="center"/>
      <protection locked="0"/>
    </xf>
    <xf numFmtId="0" fontId="24" fillId="0" borderId="0" xfId="1" applyNumberFormat="1" applyFont="1" applyFill="1" applyBorder="1" applyAlignment="1" applyProtection="1">
      <alignment horizontal="center"/>
      <protection locked="0"/>
    </xf>
    <xf numFmtId="42" fontId="24" fillId="0" borderId="0" xfId="1" applyNumberFormat="1" applyFont="1" applyFill="1" applyBorder="1" applyAlignment="1" applyProtection="1">
      <alignment horizontal="center"/>
      <protection locked="0"/>
    </xf>
    <xf numFmtId="42" fontId="29" fillId="0" borderId="0" xfId="0" applyNumberFormat="1" applyFont="1" applyFill="1" applyBorder="1"/>
    <xf numFmtId="42" fontId="24" fillId="0" borderId="0" xfId="1" applyFont="1" applyFill="1" applyBorder="1" applyAlignment="1" applyProtection="1">
      <alignment horizontal="left"/>
      <protection locked="0"/>
    </xf>
    <xf numFmtId="42" fontId="26" fillId="0" borderId="11" xfId="1" applyFont="1" applyFill="1" applyBorder="1" applyAlignment="1" applyProtection="1">
      <alignment horizontal="left"/>
      <protection locked="0"/>
    </xf>
    <xf numFmtId="0" fontId="0" fillId="0" borderId="0" xfId="0" applyFill="1"/>
    <xf numFmtId="0" fontId="5" fillId="2" borderId="5" xfId="0" quotePrefix="1" applyFont="1" applyFill="1" applyBorder="1" applyAlignment="1">
      <alignment horizontal="center" vertical="center"/>
    </xf>
    <xf numFmtId="0" fontId="5" fillId="2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42" fontId="24" fillId="21" borderId="25" xfId="1" applyFont="1" applyFill="1" applyBorder="1" applyAlignment="1">
      <alignment horizontal="center"/>
    </xf>
    <xf numFmtId="42" fontId="24" fillId="21" borderId="26" xfId="1" applyFont="1" applyFill="1" applyBorder="1" applyAlignment="1">
      <alignment horizontal="center"/>
    </xf>
  </cellXfs>
  <cellStyles count="2">
    <cellStyle name="Currency [0]" xfId="1" builtinId="7"/>
    <cellStyle name="Normal" xfId="0" builtinId="0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A639B-2418-F943-BAE9-C9B448F3C8DE}">
  <dimension ref="A1:AZ44"/>
  <sheetViews>
    <sheetView zoomScaleNormal="150" workbookViewId="0">
      <selection activeCell="M52" sqref="M52"/>
    </sheetView>
  </sheetViews>
  <sheetFormatPr baseColWidth="10" defaultColWidth="10.83203125" defaultRowHeight="14" x14ac:dyDescent="0.2"/>
  <cols>
    <col min="1" max="1" width="2.6640625" style="3" customWidth="1"/>
    <col min="2" max="2" width="4.6640625" style="48" hidden="1" customWidth="1"/>
    <col min="3" max="3" width="53.6640625" style="5" customWidth="1"/>
    <col min="4" max="4" width="10.6640625" style="6" hidden="1" customWidth="1"/>
    <col min="5" max="5" width="15.6640625" style="7" hidden="1" customWidth="1"/>
    <col min="6" max="6" width="12.1640625" style="8" bestFit="1" customWidth="1"/>
    <col min="7" max="7" width="11.33203125" style="8" bestFit="1" customWidth="1"/>
    <col min="8" max="8" width="11.1640625" style="9" customWidth="1"/>
    <col min="9" max="9" width="1.6640625" style="1" customWidth="1"/>
    <col min="10" max="16" width="6.1640625" style="2" bestFit="1" customWidth="1"/>
    <col min="17" max="17" width="6.1640625" style="130" bestFit="1" customWidth="1"/>
    <col min="18" max="18" width="6.1640625" style="139" bestFit="1" customWidth="1"/>
    <col min="19" max="32" width="6.1640625" style="2" bestFit="1" customWidth="1"/>
    <col min="33" max="16384" width="10.83203125" style="2"/>
  </cols>
  <sheetData>
    <row r="1" spans="1:52" s="66" customFormat="1" ht="33" x14ac:dyDescent="0.2">
      <c r="A1" s="60"/>
      <c r="B1" s="67"/>
      <c r="C1" s="68" t="s">
        <v>2</v>
      </c>
      <c r="D1" s="61"/>
      <c r="E1" s="62"/>
      <c r="F1" s="63"/>
      <c r="G1" s="63"/>
      <c r="H1" s="64"/>
      <c r="I1" s="64"/>
      <c r="J1" s="65"/>
      <c r="K1" s="65"/>
      <c r="L1" s="65"/>
      <c r="M1" s="65"/>
      <c r="N1" s="65"/>
      <c r="O1" s="65"/>
      <c r="P1" s="65"/>
      <c r="Q1" s="122"/>
      <c r="R1" s="131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</row>
    <row r="2" spans="1:52" x14ac:dyDescent="0.2">
      <c r="B2" s="4"/>
      <c r="J2" s="210"/>
      <c r="K2" s="210"/>
      <c r="L2" s="210"/>
      <c r="M2" s="210"/>
      <c r="N2" s="210"/>
      <c r="O2" s="210"/>
      <c r="P2" s="210"/>
      <c r="Q2" s="210"/>
      <c r="R2" s="211">
        <v>2023</v>
      </c>
      <c r="S2" s="211"/>
      <c r="T2" s="211"/>
      <c r="U2" s="211"/>
      <c r="V2" s="211"/>
      <c r="W2" s="211"/>
      <c r="X2" s="211"/>
      <c r="Y2" s="211"/>
      <c r="Z2" s="211"/>
      <c r="AA2" s="211"/>
      <c r="AB2" s="211"/>
      <c r="AC2" s="211"/>
      <c r="AD2" s="212">
        <v>2024</v>
      </c>
      <c r="AE2" s="212"/>
      <c r="AF2" s="212"/>
    </row>
    <row r="3" spans="1:52" x14ac:dyDescent="0.2">
      <c r="B3" s="10"/>
      <c r="C3" s="140"/>
      <c r="J3" s="11" t="s">
        <v>5</v>
      </c>
      <c r="K3" s="11" t="s">
        <v>6</v>
      </c>
      <c r="L3" s="11" t="s">
        <v>7</v>
      </c>
      <c r="M3" s="11" t="s">
        <v>8</v>
      </c>
      <c r="N3" s="11" t="s">
        <v>9</v>
      </c>
      <c r="O3" s="11" t="s">
        <v>10</v>
      </c>
      <c r="P3" s="11" t="s">
        <v>11</v>
      </c>
      <c r="Q3" s="123" t="s">
        <v>12</v>
      </c>
      <c r="R3" s="132" t="s">
        <v>13</v>
      </c>
      <c r="S3" s="11" t="s">
        <v>14</v>
      </c>
      <c r="T3" s="11" t="s">
        <v>3</v>
      </c>
      <c r="U3" s="11" t="s">
        <v>4</v>
      </c>
      <c r="V3" s="11" t="s">
        <v>5</v>
      </c>
      <c r="W3" s="11" t="s">
        <v>6</v>
      </c>
      <c r="X3" s="11" t="s">
        <v>7</v>
      </c>
      <c r="Y3" s="11" t="s">
        <v>8</v>
      </c>
      <c r="Z3" s="11" t="s">
        <v>9</v>
      </c>
      <c r="AA3" s="11" t="s">
        <v>10</v>
      </c>
      <c r="AB3" s="11" t="s">
        <v>11</v>
      </c>
      <c r="AC3" s="11" t="s">
        <v>12</v>
      </c>
      <c r="AD3" s="11" t="s">
        <v>13</v>
      </c>
      <c r="AE3" s="11" t="s">
        <v>14</v>
      </c>
      <c r="AF3" s="11" t="s">
        <v>3</v>
      </c>
    </row>
    <row r="4" spans="1:52" s="17" customFormat="1" ht="30" x14ac:dyDescent="0.2">
      <c r="A4" s="12"/>
      <c r="B4" s="13" t="s">
        <v>0</v>
      </c>
      <c r="C4" s="14" t="s">
        <v>106</v>
      </c>
      <c r="D4" s="15" t="s">
        <v>1</v>
      </c>
      <c r="E4" s="15" t="s">
        <v>39</v>
      </c>
      <c r="F4" s="16" t="s">
        <v>15</v>
      </c>
      <c r="G4" s="16" t="s">
        <v>16</v>
      </c>
      <c r="H4" s="14" t="s">
        <v>42</v>
      </c>
      <c r="I4" s="1"/>
      <c r="J4" s="15">
        <v>5</v>
      </c>
      <c r="K4" s="15">
        <v>6</v>
      </c>
      <c r="L4" s="15">
        <v>7</v>
      </c>
      <c r="M4" s="15">
        <v>8</v>
      </c>
      <c r="N4" s="15">
        <v>9</v>
      </c>
      <c r="O4" s="15">
        <v>10</v>
      </c>
      <c r="P4" s="15">
        <v>11</v>
      </c>
      <c r="Q4" s="124">
        <v>12</v>
      </c>
      <c r="R4" s="133">
        <v>13</v>
      </c>
      <c r="S4" s="15">
        <v>14</v>
      </c>
      <c r="T4" s="15">
        <v>15</v>
      </c>
      <c r="U4" s="15">
        <v>16</v>
      </c>
      <c r="V4" s="15">
        <v>17</v>
      </c>
      <c r="W4" s="15">
        <v>18</v>
      </c>
      <c r="X4" s="15">
        <v>19</v>
      </c>
      <c r="Y4" s="15">
        <v>20</v>
      </c>
      <c r="Z4" s="15">
        <v>21</v>
      </c>
      <c r="AA4" s="15">
        <v>22</v>
      </c>
      <c r="AB4" s="15">
        <v>23</v>
      </c>
      <c r="AC4" s="15">
        <v>24</v>
      </c>
      <c r="AD4" s="15">
        <v>25</v>
      </c>
      <c r="AE4" s="15">
        <v>26</v>
      </c>
      <c r="AF4" s="15">
        <v>27</v>
      </c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</row>
    <row r="5" spans="1:52" s="25" customFormat="1" ht="15" x14ac:dyDescent="0.2">
      <c r="A5" s="18"/>
      <c r="B5" s="19" t="s">
        <v>17</v>
      </c>
      <c r="C5" s="20" t="s">
        <v>18</v>
      </c>
      <c r="D5" s="21" t="s">
        <v>19</v>
      </c>
      <c r="E5" s="49">
        <v>111667</v>
      </c>
      <c r="F5" s="22">
        <f>MIN(F7:F33)</f>
        <v>44642</v>
      </c>
      <c r="G5" s="22">
        <f>MAX(G7:G21)</f>
        <v>45383</v>
      </c>
      <c r="H5" s="23">
        <f>(G5-F5)/(365)*12</f>
        <v>24.361643835616441</v>
      </c>
      <c r="I5" s="24"/>
      <c r="Q5" s="125"/>
      <c r="R5" s="134"/>
    </row>
    <row r="6" spans="1:52" s="34" customFormat="1" ht="15" x14ac:dyDescent="0.2">
      <c r="A6" s="26"/>
      <c r="B6" s="46" t="s">
        <v>34</v>
      </c>
      <c r="C6" s="28" t="s">
        <v>96</v>
      </c>
      <c r="D6" s="29" t="s">
        <v>19</v>
      </c>
      <c r="E6" s="47"/>
      <c r="F6" s="31">
        <v>45047</v>
      </c>
      <c r="G6" s="31">
        <v>45108</v>
      </c>
      <c r="H6" s="32">
        <f t="shared" ref="H6" si="0">(G6-F6)/(365)*12</f>
        <v>2.0054794520547947</v>
      </c>
      <c r="I6" s="33"/>
      <c r="Q6" s="128"/>
      <c r="R6" s="137"/>
      <c r="V6" s="35"/>
      <c r="W6" s="35"/>
      <c r="X6" s="35"/>
    </row>
    <row r="7" spans="1:52" s="34" customFormat="1" ht="15" x14ac:dyDescent="0.2">
      <c r="A7" s="26"/>
      <c r="B7" s="27" t="s">
        <v>20</v>
      </c>
      <c r="C7" s="28" t="s">
        <v>97</v>
      </c>
      <c r="D7" s="29" t="s">
        <v>19</v>
      </c>
      <c r="E7" s="30"/>
      <c r="F7" s="31">
        <f>MIN(F8:F11)</f>
        <v>44666</v>
      </c>
      <c r="G7" s="31">
        <f>MAX(G8:G11)</f>
        <v>45009</v>
      </c>
      <c r="H7" s="32">
        <f t="shared" ref="H7:H19" si="1">(G7-F7)/(365)*12</f>
        <v>11.276712328767124</v>
      </c>
      <c r="I7" s="33"/>
      <c r="J7" s="35"/>
      <c r="K7" s="35"/>
      <c r="L7" s="35"/>
      <c r="M7" s="35"/>
      <c r="N7" s="35"/>
      <c r="O7" s="35"/>
      <c r="P7" s="35"/>
      <c r="Q7" s="126"/>
      <c r="R7" s="135"/>
      <c r="S7" s="35"/>
      <c r="T7" s="35"/>
    </row>
    <row r="8" spans="1:52" s="43" customFormat="1" ht="30" x14ac:dyDescent="0.2">
      <c r="A8" s="36"/>
      <c r="B8" s="37" t="s">
        <v>21</v>
      </c>
      <c r="C8" s="38" t="s">
        <v>41</v>
      </c>
      <c r="D8" s="39" t="s">
        <v>19</v>
      </c>
      <c r="E8" s="40"/>
      <c r="F8" s="41">
        <v>44666</v>
      </c>
      <c r="G8" s="41">
        <v>45009</v>
      </c>
      <c r="H8" s="42">
        <f t="shared" si="1"/>
        <v>11.276712328767124</v>
      </c>
      <c r="I8" s="33"/>
      <c r="J8" s="35"/>
      <c r="K8" s="35"/>
      <c r="L8" s="35"/>
      <c r="M8" s="35"/>
      <c r="N8" s="35"/>
      <c r="O8" s="35"/>
      <c r="P8" s="35"/>
      <c r="Q8" s="126"/>
      <c r="R8" s="135"/>
      <c r="S8" s="35"/>
      <c r="T8" s="35"/>
    </row>
    <row r="9" spans="1:52" s="43" customFormat="1" ht="26" customHeight="1" x14ac:dyDescent="0.2">
      <c r="A9" s="36"/>
      <c r="B9" s="37" t="s">
        <v>23</v>
      </c>
      <c r="C9" s="38" t="s">
        <v>92</v>
      </c>
      <c r="D9" s="39" t="s">
        <v>19</v>
      </c>
      <c r="E9" s="44"/>
      <c r="F9" s="41">
        <v>44666</v>
      </c>
      <c r="G9" s="41">
        <v>45009</v>
      </c>
      <c r="H9" s="45">
        <f t="shared" si="1"/>
        <v>11.276712328767124</v>
      </c>
      <c r="I9" s="33"/>
      <c r="J9" s="35"/>
      <c r="K9" s="35"/>
      <c r="L9" s="35"/>
      <c r="M9" s="35"/>
      <c r="N9" s="35"/>
      <c r="O9" s="35"/>
      <c r="P9" s="35"/>
      <c r="Q9" s="126"/>
      <c r="R9" s="135"/>
      <c r="S9" s="35"/>
      <c r="T9" s="35"/>
    </row>
    <row r="10" spans="1:52" s="43" customFormat="1" ht="15" x14ac:dyDescent="0.2">
      <c r="A10" s="36"/>
      <c r="B10" s="37" t="s">
        <v>25</v>
      </c>
      <c r="C10" s="38" t="s">
        <v>24</v>
      </c>
      <c r="D10" s="39" t="s">
        <v>19</v>
      </c>
      <c r="E10" s="44"/>
      <c r="F10" s="41">
        <v>44682</v>
      </c>
      <c r="G10" s="41">
        <v>44743</v>
      </c>
      <c r="H10" s="45">
        <f t="shared" si="1"/>
        <v>2.0054794520547947</v>
      </c>
      <c r="I10" s="33"/>
      <c r="J10" s="35"/>
      <c r="K10" s="35"/>
      <c r="L10" s="35"/>
      <c r="Q10" s="127"/>
      <c r="R10" s="136"/>
    </row>
    <row r="11" spans="1:52" s="43" customFormat="1" ht="15" x14ac:dyDescent="0.2">
      <c r="A11" s="36"/>
      <c r="B11" s="43" t="s">
        <v>40</v>
      </c>
      <c r="C11" s="38" t="s">
        <v>26</v>
      </c>
      <c r="D11" s="39" t="s">
        <v>19</v>
      </c>
      <c r="E11" s="44"/>
      <c r="F11" s="41">
        <v>44682</v>
      </c>
      <c r="G11" s="41">
        <v>44743</v>
      </c>
      <c r="H11" s="45">
        <f t="shared" si="1"/>
        <v>2.0054794520547947</v>
      </c>
      <c r="I11" s="33"/>
      <c r="J11" s="35"/>
      <c r="K11" s="35"/>
      <c r="L11" s="35"/>
      <c r="Q11" s="127"/>
      <c r="R11" s="136"/>
    </row>
    <row r="12" spans="1:52" s="34" customFormat="1" ht="15" x14ac:dyDescent="0.2">
      <c r="A12" s="26"/>
      <c r="B12" s="46" t="s">
        <v>27</v>
      </c>
      <c r="C12" s="28" t="s">
        <v>98</v>
      </c>
      <c r="D12" s="29" t="s">
        <v>19</v>
      </c>
      <c r="E12" s="47"/>
      <c r="F12" s="31">
        <f>MIN(F13:F18)</f>
        <v>45017</v>
      </c>
      <c r="G12" s="31">
        <f>MAX(G13:G18)</f>
        <v>45231</v>
      </c>
      <c r="H12" s="32">
        <f t="shared" si="1"/>
        <v>7.0356164383561648</v>
      </c>
      <c r="I12" s="33"/>
      <c r="Q12" s="128"/>
      <c r="R12" s="137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</row>
    <row r="13" spans="1:52" s="43" customFormat="1" ht="15" x14ac:dyDescent="0.2">
      <c r="A13" s="36"/>
      <c r="B13" s="37" t="s">
        <v>50</v>
      </c>
      <c r="C13" s="38" t="s">
        <v>43</v>
      </c>
      <c r="D13" s="39" t="s">
        <v>19</v>
      </c>
      <c r="E13" s="44"/>
      <c r="F13" s="41">
        <v>45017</v>
      </c>
      <c r="G13" s="41">
        <v>45047</v>
      </c>
      <c r="H13" s="45">
        <f>(G13-F13)/(365)*12</f>
        <v>0.98630136986301364</v>
      </c>
      <c r="I13" s="33"/>
      <c r="Q13" s="127"/>
      <c r="R13" s="136"/>
      <c r="U13" s="35"/>
      <c r="V13" s="35"/>
    </row>
    <row r="14" spans="1:52" s="43" customFormat="1" ht="15" x14ac:dyDescent="0.2">
      <c r="A14" s="36"/>
      <c r="B14" s="37" t="s">
        <v>49</v>
      </c>
      <c r="C14" s="38" t="s">
        <v>44</v>
      </c>
      <c r="D14" s="39" t="s">
        <v>19</v>
      </c>
      <c r="E14" s="44"/>
      <c r="F14" s="41">
        <v>45078</v>
      </c>
      <c r="G14" s="41">
        <v>45108</v>
      </c>
      <c r="H14" s="45">
        <f t="shared" si="1"/>
        <v>0.98630136986301364</v>
      </c>
      <c r="I14" s="33"/>
      <c r="Q14" s="127"/>
      <c r="R14" s="136"/>
      <c r="W14" s="35"/>
      <c r="X14" s="35"/>
    </row>
    <row r="15" spans="1:52" s="43" customFormat="1" ht="15" x14ac:dyDescent="0.2">
      <c r="A15" s="36"/>
      <c r="B15" s="37" t="s">
        <v>51</v>
      </c>
      <c r="C15" s="38" t="s">
        <v>45</v>
      </c>
      <c r="D15" s="39" t="s">
        <v>19</v>
      </c>
      <c r="E15" s="44"/>
      <c r="F15" s="41">
        <v>45139</v>
      </c>
      <c r="G15" s="41">
        <v>45170</v>
      </c>
      <c r="H15" s="42">
        <f>(G15-F15)/(365)*12</f>
        <v>1.0191780821917809</v>
      </c>
      <c r="I15" s="33"/>
      <c r="Q15" s="127"/>
      <c r="R15" s="136"/>
      <c r="Y15" s="35"/>
      <c r="Z15" s="35"/>
    </row>
    <row r="16" spans="1:52" s="43" customFormat="1" ht="15" x14ac:dyDescent="0.2">
      <c r="A16" s="36"/>
      <c r="B16" s="37" t="s">
        <v>52</v>
      </c>
      <c r="C16" s="38" t="s">
        <v>93</v>
      </c>
      <c r="D16" s="39" t="s">
        <v>19</v>
      </c>
      <c r="E16" s="44"/>
      <c r="F16" s="41">
        <v>45200</v>
      </c>
      <c r="G16" s="41">
        <v>45231</v>
      </c>
      <c r="H16" s="45">
        <f t="shared" si="1"/>
        <v>1.0191780821917809</v>
      </c>
      <c r="I16" s="33"/>
      <c r="Q16" s="127"/>
      <c r="R16" s="136"/>
      <c r="W16" s="35"/>
      <c r="X16" s="35"/>
      <c r="AA16" s="35"/>
      <c r="AB16" s="35"/>
    </row>
    <row r="17" spans="1:32" s="43" customFormat="1" ht="15" x14ac:dyDescent="0.2">
      <c r="A17" s="36"/>
      <c r="B17" s="37" t="s">
        <v>53</v>
      </c>
      <c r="C17" s="38" t="s">
        <v>47</v>
      </c>
      <c r="D17" s="39" t="s">
        <v>19</v>
      </c>
      <c r="E17" s="44"/>
      <c r="F17" s="41">
        <v>45078</v>
      </c>
      <c r="G17" s="41">
        <v>45108</v>
      </c>
      <c r="H17" s="45">
        <f t="shared" si="1"/>
        <v>0.98630136986301364</v>
      </c>
      <c r="I17" s="33"/>
      <c r="Q17" s="127"/>
      <c r="R17" s="136"/>
    </row>
    <row r="18" spans="1:32" s="43" customFormat="1" ht="15" x14ac:dyDescent="0.2">
      <c r="A18" s="36"/>
      <c r="B18" s="37" t="s">
        <v>54</v>
      </c>
      <c r="C18" s="38" t="s">
        <v>48</v>
      </c>
      <c r="D18" s="39" t="s">
        <v>19</v>
      </c>
      <c r="E18" s="44"/>
      <c r="F18" s="41">
        <v>45017</v>
      </c>
      <c r="G18" s="41">
        <v>45047</v>
      </c>
      <c r="H18" s="45">
        <f t="shared" si="1"/>
        <v>0.98630136986301364</v>
      </c>
      <c r="I18" s="33"/>
      <c r="Q18" s="127"/>
      <c r="R18" s="136"/>
      <c r="AE18" s="35"/>
      <c r="AF18" s="35"/>
    </row>
    <row r="19" spans="1:32" s="34" customFormat="1" ht="30" x14ac:dyDescent="0.2">
      <c r="A19" s="26"/>
      <c r="B19" s="46" t="s">
        <v>31</v>
      </c>
      <c r="C19" s="28" t="s">
        <v>99</v>
      </c>
      <c r="D19" s="29" t="s">
        <v>19</v>
      </c>
      <c r="E19" s="47"/>
      <c r="F19" s="31">
        <v>45078</v>
      </c>
      <c r="G19" s="31">
        <v>45383</v>
      </c>
      <c r="H19" s="32">
        <f t="shared" si="1"/>
        <v>10.027397260273972</v>
      </c>
      <c r="I19" s="33"/>
      <c r="Q19" s="128"/>
      <c r="R19" s="137"/>
      <c r="W19" s="35"/>
      <c r="X19" s="35"/>
      <c r="Y19" s="35"/>
      <c r="Z19" s="35"/>
      <c r="AA19" s="35"/>
      <c r="AB19" s="35"/>
      <c r="AC19" s="35"/>
      <c r="AD19" s="35"/>
      <c r="AE19" s="35"/>
      <c r="AF19" s="35"/>
    </row>
    <row r="20" spans="1:32" s="34" customFormat="1" ht="42" customHeight="1" x14ac:dyDescent="0.2">
      <c r="A20" s="26"/>
      <c r="B20" s="46" t="s">
        <v>32</v>
      </c>
      <c r="C20" s="28" t="s">
        <v>101</v>
      </c>
      <c r="D20" s="29" t="s">
        <v>19</v>
      </c>
      <c r="E20" s="47"/>
      <c r="F20" s="31">
        <v>44788</v>
      </c>
      <c r="G20" s="31">
        <v>44849</v>
      </c>
      <c r="H20" s="32">
        <f>(G20-F20)/(365)*12</f>
        <v>2.0054794520547947</v>
      </c>
      <c r="I20" s="33"/>
      <c r="M20" s="35"/>
      <c r="N20" s="35"/>
      <c r="O20" s="35"/>
      <c r="Q20" s="128"/>
      <c r="R20" s="137"/>
    </row>
    <row r="21" spans="1:32" s="34" customFormat="1" ht="30" x14ac:dyDescent="0.2">
      <c r="A21" s="26"/>
      <c r="B21" s="46" t="s">
        <v>34</v>
      </c>
      <c r="C21" s="28" t="s">
        <v>107</v>
      </c>
      <c r="D21" s="29" t="s">
        <v>19</v>
      </c>
      <c r="E21" s="47"/>
      <c r="F21" s="31">
        <v>45047</v>
      </c>
      <c r="G21" s="31">
        <v>45108</v>
      </c>
      <c r="H21" s="32">
        <f>(G21-F21)/(365)*12</f>
        <v>2.0054794520547947</v>
      </c>
      <c r="I21" s="33"/>
      <c r="Q21" s="128"/>
      <c r="R21" s="137"/>
      <c r="V21" s="35"/>
      <c r="W21" s="35"/>
      <c r="X21" s="35"/>
    </row>
    <row r="22" spans="1:32" s="34" customFormat="1" ht="27" customHeight="1" x14ac:dyDescent="0.2">
      <c r="A22" s="26"/>
      <c r="B22" s="46" t="s">
        <v>36</v>
      </c>
      <c r="C22" s="28" t="s">
        <v>102</v>
      </c>
      <c r="D22" s="29" t="s">
        <v>19</v>
      </c>
      <c r="E22" s="47"/>
      <c r="F22" s="31">
        <v>44652</v>
      </c>
      <c r="G22" s="31">
        <v>44696</v>
      </c>
      <c r="H22" s="32">
        <f>(G22-F22)/(365)*12</f>
        <v>1.4465753424657535</v>
      </c>
      <c r="I22" s="33"/>
      <c r="J22" s="35"/>
      <c r="Q22" s="128"/>
      <c r="R22" s="137"/>
    </row>
    <row r="24" spans="1:32" s="34" customFormat="1" ht="45" x14ac:dyDescent="0.2">
      <c r="A24" s="26"/>
      <c r="B24" s="46" t="s">
        <v>33</v>
      </c>
      <c r="C24" s="28" t="s">
        <v>108</v>
      </c>
      <c r="D24" s="29" t="s">
        <v>19</v>
      </c>
      <c r="E24" s="47"/>
      <c r="F24" s="31">
        <v>44713</v>
      </c>
      <c r="G24" s="31">
        <v>44805</v>
      </c>
      <c r="H24" s="32">
        <f>(G24-F24)/(365)*12</f>
        <v>3.0246575342465754</v>
      </c>
      <c r="I24" s="33"/>
      <c r="K24" s="35"/>
      <c r="L24" s="35"/>
      <c r="M24" s="35"/>
      <c r="N24" s="35"/>
      <c r="Q24" s="128"/>
      <c r="R24" s="137"/>
    </row>
    <row r="25" spans="1:32" s="34" customFormat="1" ht="30" x14ac:dyDescent="0.2">
      <c r="A25" s="26"/>
      <c r="B25" s="46" t="s">
        <v>35</v>
      </c>
      <c r="C25" s="28" t="s">
        <v>109</v>
      </c>
      <c r="D25" s="29" t="s">
        <v>19</v>
      </c>
      <c r="E25" s="47"/>
      <c r="F25" s="31">
        <v>44642</v>
      </c>
      <c r="G25" s="31">
        <v>45383</v>
      </c>
      <c r="H25" s="32">
        <f>(G25-F25)/(365)*12</f>
        <v>24.361643835616441</v>
      </c>
      <c r="I25" s="33"/>
      <c r="J25" s="35"/>
      <c r="K25" s="35"/>
      <c r="L25" s="35"/>
      <c r="M25" s="35"/>
      <c r="N25" s="35"/>
      <c r="O25" s="35"/>
      <c r="P25" s="35"/>
      <c r="Q25" s="126"/>
      <c r="R25" s="1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</row>
    <row r="26" spans="1:32" s="59" customFormat="1" ht="39" customHeight="1" x14ac:dyDescent="0.2">
      <c r="A26" s="50"/>
      <c r="B26" s="51" t="s">
        <v>37</v>
      </c>
      <c r="C26" s="52" t="s">
        <v>110</v>
      </c>
      <c r="D26" s="53" t="s">
        <v>19</v>
      </c>
      <c r="E26" s="54"/>
      <c r="F26" s="55">
        <v>44642</v>
      </c>
      <c r="G26" s="55">
        <v>45383</v>
      </c>
      <c r="H26" s="56">
        <f>(G26-F26)/(365)*12</f>
        <v>24.361643835616441</v>
      </c>
      <c r="I26" s="57"/>
      <c r="J26" s="58"/>
      <c r="K26" s="58"/>
      <c r="L26" s="58"/>
      <c r="M26" s="58"/>
      <c r="N26" s="58"/>
      <c r="O26" s="58"/>
      <c r="P26" s="58"/>
      <c r="Q26" s="129"/>
      <c r="R26" s="13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</row>
    <row r="29" spans="1:32" s="25" customFormat="1" ht="15" x14ac:dyDescent="0.2">
      <c r="A29" s="18"/>
      <c r="B29" s="19"/>
      <c r="C29" s="20" t="s">
        <v>69</v>
      </c>
      <c r="D29" s="21"/>
      <c r="E29" s="49"/>
      <c r="F29" s="22"/>
      <c r="G29" s="22"/>
      <c r="H29" s="23"/>
      <c r="I29" s="24"/>
      <c r="Q29" s="125"/>
      <c r="R29" s="134"/>
    </row>
    <row r="30" spans="1:32" s="34" customFormat="1" ht="15" x14ac:dyDescent="0.2">
      <c r="A30" s="26"/>
      <c r="B30" s="46"/>
      <c r="C30" s="28" t="s">
        <v>153</v>
      </c>
      <c r="D30" s="29"/>
      <c r="E30" s="47"/>
      <c r="F30" s="31"/>
      <c r="G30" s="31"/>
      <c r="H30" s="32"/>
      <c r="I30" s="33"/>
      <c r="Q30" s="128"/>
      <c r="R30" s="137"/>
    </row>
    <row r="31" spans="1:32" s="43" customFormat="1" ht="15" x14ac:dyDescent="0.2">
      <c r="A31" s="36"/>
      <c r="B31" s="37" t="s">
        <v>28</v>
      </c>
      <c r="C31" s="38" t="s">
        <v>140</v>
      </c>
      <c r="D31" s="39" t="s">
        <v>19</v>
      </c>
      <c r="E31" s="44"/>
      <c r="F31" s="41" t="s">
        <v>154</v>
      </c>
      <c r="G31" s="41"/>
      <c r="H31" s="45" t="s">
        <v>155</v>
      </c>
      <c r="I31" s="33"/>
      <c r="Q31" s="127"/>
      <c r="R31" s="136"/>
    </row>
    <row r="32" spans="1:32" s="43" customFormat="1" ht="15" x14ac:dyDescent="0.2">
      <c r="A32" s="36"/>
      <c r="B32" s="37" t="s">
        <v>29</v>
      </c>
      <c r="C32" s="38" t="s">
        <v>141</v>
      </c>
      <c r="D32" s="39" t="s">
        <v>19</v>
      </c>
      <c r="E32" s="44"/>
      <c r="F32" s="41" t="s">
        <v>154</v>
      </c>
      <c r="G32" s="41"/>
      <c r="H32" s="45" t="s">
        <v>155</v>
      </c>
      <c r="I32" s="33"/>
      <c r="Q32" s="127"/>
      <c r="R32" s="136"/>
    </row>
    <row r="33" spans="1:18" s="34" customFormat="1" ht="15" x14ac:dyDescent="0.2">
      <c r="A33" s="26"/>
      <c r="B33" s="46" t="s">
        <v>30</v>
      </c>
      <c r="C33" s="28" t="s">
        <v>142</v>
      </c>
      <c r="D33" s="29" t="s">
        <v>19</v>
      </c>
      <c r="E33" s="47"/>
      <c r="F33" s="31"/>
      <c r="G33" s="31"/>
      <c r="H33" s="32"/>
      <c r="I33" s="33"/>
      <c r="Q33" s="128"/>
      <c r="R33" s="137"/>
    </row>
    <row r="34" spans="1:18" s="43" customFormat="1" ht="15" x14ac:dyDescent="0.2">
      <c r="A34" s="36"/>
      <c r="B34" s="37"/>
      <c r="C34" s="38" t="s">
        <v>143</v>
      </c>
      <c r="D34" s="39"/>
      <c r="E34" s="44"/>
      <c r="F34" s="41">
        <v>44682</v>
      </c>
      <c r="G34" s="41">
        <v>44712</v>
      </c>
      <c r="H34" s="45">
        <f>(G34-F34)/(365)*12</f>
        <v>0.98630136986301364</v>
      </c>
      <c r="I34" s="33"/>
      <c r="J34" s="58"/>
      <c r="Q34" s="127"/>
      <c r="R34" s="136"/>
    </row>
    <row r="35" spans="1:18" s="43" customFormat="1" ht="15" x14ac:dyDescent="0.2">
      <c r="A35" s="36"/>
      <c r="B35" s="37"/>
      <c r="C35" s="38" t="s">
        <v>144</v>
      </c>
      <c r="D35" s="39"/>
      <c r="E35" s="44"/>
      <c r="F35" s="41">
        <v>44682</v>
      </c>
      <c r="G35" s="41">
        <v>44712</v>
      </c>
      <c r="H35" s="45">
        <f t="shared" ref="H35:H43" si="2">(G35-F35)/(365)*12</f>
        <v>0.98630136986301364</v>
      </c>
      <c r="I35" s="33"/>
      <c r="J35" s="58"/>
      <c r="Q35" s="127"/>
      <c r="R35" s="136"/>
    </row>
    <row r="36" spans="1:18" s="43" customFormat="1" ht="15" x14ac:dyDescent="0.2">
      <c r="A36" s="36"/>
      <c r="B36" s="37"/>
      <c r="C36" s="38" t="s">
        <v>145</v>
      </c>
      <c r="D36" s="39"/>
      <c r="E36" s="44"/>
      <c r="F36" s="41">
        <v>44682</v>
      </c>
      <c r="G36" s="41">
        <v>44712</v>
      </c>
      <c r="H36" s="45">
        <f t="shared" si="2"/>
        <v>0.98630136986301364</v>
      </c>
      <c r="I36" s="33"/>
      <c r="J36" s="58"/>
      <c r="Q36" s="127"/>
      <c r="R36" s="136"/>
    </row>
    <row r="37" spans="1:18" s="43" customFormat="1" ht="15" x14ac:dyDescent="0.2">
      <c r="A37" s="36"/>
      <c r="B37" s="37"/>
      <c r="C37" s="38" t="s">
        <v>146</v>
      </c>
      <c r="D37" s="39"/>
      <c r="E37" s="44"/>
      <c r="F37" s="41">
        <v>44682</v>
      </c>
      <c r="G37" s="41">
        <v>44712</v>
      </c>
      <c r="H37" s="45">
        <f t="shared" si="2"/>
        <v>0.98630136986301364</v>
      </c>
      <c r="I37" s="33"/>
      <c r="J37" s="58"/>
      <c r="Q37" s="127"/>
      <c r="R37" s="136"/>
    </row>
    <row r="38" spans="1:18" s="43" customFormat="1" ht="15" x14ac:dyDescent="0.2">
      <c r="A38" s="36"/>
      <c r="B38" s="37"/>
      <c r="C38" s="38" t="s">
        <v>147</v>
      </c>
      <c r="D38" s="39"/>
      <c r="E38" s="44"/>
      <c r="F38" s="41">
        <v>44682</v>
      </c>
      <c r="G38" s="41">
        <v>44712</v>
      </c>
      <c r="H38" s="45">
        <f t="shared" si="2"/>
        <v>0.98630136986301364</v>
      </c>
      <c r="I38" s="33"/>
      <c r="J38" s="58"/>
      <c r="Q38" s="127"/>
      <c r="R38" s="136"/>
    </row>
    <row r="39" spans="1:18" s="43" customFormat="1" ht="15" x14ac:dyDescent="0.2">
      <c r="A39" s="36"/>
      <c r="B39" s="37"/>
      <c r="C39" s="38" t="s">
        <v>148</v>
      </c>
      <c r="D39" s="39"/>
      <c r="E39" s="44"/>
      <c r="F39" s="41">
        <v>44682</v>
      </c>
      <c r="G39" s="41">
        <v>44712</v>
      </c>
      <c r="H39" s="45">
        <f t="shared" si="2"/>
        <v>0.98630136986301364</v>
      </c>
      <c r="I39" s="33"/>
      <c r="J39" s="58"/>
      <c r="Q39" s="127"/>
      <c r="R39" s="136"/>
    </row>
    <row r="40" spans="1:18" s="43" customFormat="1" ht="15" x14ac:dyDescent="0.2">
      <c r="A40" s="36"/>
      <c r="B40" s="37"/>
      <c r="C40" s="38" t="s">
        <v>149</v>
      </c>
      <c r="D40" s="39"/>
      <c r="E40" s="44"/>
      <c r="F40" s="41">
        <v>44682</v>
      </c>
      <c r="G40" s="41">
        <v>44712</v>
      </c>
      <c r="H40" s="45">
        <f t="shared" si="2"/>
        <v>0.98630136986301364</v>
      </c>
      <c r="I40" s="33"/>
      <c r="J40" s="58"/>
      <c r="Q40" s="127"/>
      <c r="R40" s="136"/>
    </row>
    <row r="41" spans="1:18" s="43" customFormat="1" ht="15" x14ac:dyDescent="0.2">
      <c r="A41" s="36"/>
      <c r="B41" s="37"/>
      <c r="C41" s="38" t="s">
        <v>150</v>
      </c>
      <c r="D41" s="39"/>
      <c r="E41" s="44"/>
      <c r="F41" s="41">
        <v>44713</v>
      </c>
      <c r="G41" s="41">
        <v>44774</v>
      </c>
      <c r="H41" s="45">
        <f t="shared" si="2"/>
        <v>2.0054794520547947</v>
      </c>
      <c r="I41" s="33"/>
      <c r="K41" s="58"/>
      <c r="L41" s="58"/>
      <c r="M41" s="58"/>
      <c r="Q41" s="127"/>
      <c r="R41" s="136"/>
    </row>
    <row r="42" spans="1:18" s="43" customFormat="1" ht="15" x14ac:dyDescent="0.2">
      <c r="A42" s="36"/>
      <c r="B42" s="37"/>
      <c r="C42" s="38" t="s">
        <v>151</v>
      </c>
      <c r="D42" s="39"/>
      <c r="E42" s="44"/>
      <c r="F42" s="200">
        <v>44713</v>
      </c>
      <c r="G42" s="41">
        <v>44774</v>
      </c>
      <c r="H42" s="45">
        <f t="shared" si="2"/>
        <v>2.0054794520547947</v>
      </c>
      <c r="I42" s="33"/>
      <c r="K42" s="58"/>
      <c r="L42" s="58"/>
      <c r="M42" s="58"/>
      <c r="Q42" s="127"/>
      <c r="R42" s="136"/>
    </row>
    <row r="43" spans="1:18" s="43" customFormat="1" ht="15" x14ac:dyDescent="0.2">
      <c r="A43" s="36"/>
      <c r="B43" s="37"/>
      <c r="C43" s="38" t="s">
        <v>152</v>
      </c>
      <c r="D43" s="39"/>
      <c r="E43" s="44"/>
      <c r="F43" s="41">
        <v>44713</v>
      </c>
      <c r="G43" s="41">
        <v>44774</v>
      </c>
      <c r="H43" s="45">
        <f t="shared" si="2"/>
        <v>2.0054794520547947</v>
      </c>
      <c r="I43" s="33"/>
      <c r="K43" s="58"/>
      <c r="L43" s="58"/>
      <c r="M43" s="58"/>
      <c r="Q43" s="127"/>
      <c r="R43" s="136"/>
    </row>
    <row r="44" spans="1:18" x14ac:dyDescent="0.2">
      <c r="H44" s="8"/>
    </row>
  </sheetData>
  <mergeCells count="3">
    <mergeCell ref="J2:Q2"/>
    <mergeCell ref="R2:AC2"/>
    <mergeCell ref="AD2:AF2"/>
  </mergeCells>
  <phoneticPr fontId="2" type="noConversion"/>
  <conditionalFormatting sqref="D24:D26 D5:D22 D29:D43">
    <cfRule type="containsText" dxfId="3" priority="1" operator="containsText" text="normal">
      <formula>NOT(ISERROR(SEARCH("normal",D5)))</formula>
    </cfRule>
    <cfRule type="containsText" dxfId="2" priority="2" operator="containsText" text="Urgent">
      <formula>NOT(ISERROR(SEARCH("Urgent",D5)))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25440-3979-6E44-ADF3-193E69404EB2}">
  <dimension ref="A1:X25"/>
  <sheetViews>
    <sheetView zoomScaleNormal="100" workbookViewId="0">
      <pane xSplit="1" topLeftCell="E1" activePane="topRight" state="frozen"/>
      <selection pane="topRight" activeCell="N22" sqref="N22"/>
    </sheetView>
  </sheetViews>
  <sheetFormatPr baseColWidth="10" defaultRowHeight="16" x14ac:dyDescent="0.2"/>
  <cols>
    <col min="1" max="1" width="40.6640625" style="69" customWidth="1"/>
    <col min="2" max="2" width="13.6640625" style="69" customWidth="1"/>
    <col min="3" max="4" width="10.83203125" style="79" customWidth="1"/>
    <col min="5" max="6" width="10.83203125" style="107" customWidth="1"/>
    <col min="7" max="7" width="10.6640625" style="107" bestFit="1" customWidth="1"/>
    <col min="8" max="9" width="10.83203125" style="107" customWidth="1"/>
    <col min="10" max="10" width="10.83203125" style="108" customWidth="1"/>
    <col min="11" max="11" width="10.83203125" style="79" customWidth="1"/>
    <col min="12" max="12" width="10.83203125" style="107" customWidth="1"/>
    <col min="13" max="13" width="9" style="107" bestFit="1" customWidth="1"/>
    <col min="14" max="16" width="10.83203125" style="107" customWidth="1"/>
    <col min="17" max="17" width="10.83203125" style="108" customWidth="1"/>
    <col min="18" max="18" width="12.33203125" style="79" customWidth="1"/>
    <col min="19" max="19" width="13.83203125" style="79" customWidth="1"/>
    <col min="20" max="20" width="12.33203125" style="79" customWidth="1"/>
    <col min="21" max="21" width="10.83203125" style="107"/>
    <col min="22" max="16384" width="10.83203125" style="69"/>
  </cols>
  <sheetData>
    <row r="1" spans="1:24" ht="165" x14ac:dyDescent="0.3">
      <c r="A1" s="77">
        <v>111667</v>
      </c>
      <c r="B1" s="77" t="s">
        <v>74</v>
      </c>
      <c r="C1" s="78" t="s">
        <v>95</v>
      </c>
      <c r="D1" s="78" t="s">
        <v>100</v>
      </c>
      <c r="E1" s="81" t="s">
        <v>41</v>
      </c>
      <c r="F1" s="82" t="s">
        <v>22</v>
      </c>
      <c r="G1" s="83" t="s">
        <v>78</v>
      </c>
      <c r="H1" s="82" t="s">
        <v>79</v>
      </c>
      <c r="I1" s="82" t="s">
        <v>80</v>
      </c>
      <c r="J1" s="84" t="s">
        <v>26</v>
      </c>
      <c r="K1" s="78" t="s">
        <v>98</v>
      </c>
      <c r="L1" s="81" t="s">
        <v>43</v>
      </c>
      <c r="M1" s="85" t="s">
        <v>44</v>
      </c>
      <c r="N1" s="81" t="s">
        <v>45</v>
      </c>
      <c r="O1" s="81" t="s">
        <v>46</v>
      </c>
      <c r="P1" s="81" t="s">
        <v>47</v>
      </c>
      <c r="Q1" s="86" t="s">
        <v>48</v>
      </c>
      <c r="R1" s="78" t="s">
        <v>99</v>
      </c>
      <c r="S1" s="78" t="s">
        <v>101</v>
      </c>
      <c r="T1" s="78" t="s">
        <v>38</v>
      </c>
      <c r="U1" s="87" t="s">
        <v>102</v>
      </c>
      <c r="V1" s="69" t="s">
        <v>94</v>
      </c>
      <c r="X1" s="69" t="s">
        <v>103</v>
      </c>
    </row>
    <row r="2" spans="1:24" x14ac:dyDescent="0.2">
      <c r="A2" s="70" t="s">
        <v>55</v>
      </c>
      <c r="B2" s="70"/>
      <c r="C2" s="70"/>
      <c r="D2" s="70"/>
      <c r="E2" s="88"/>
      <c r="F2" s="88"/>
      <c r="G2" s="70"/>
      <c r="H2" s="88"/>
      <c r="I2" s="88"/>
      <c r="J2" s="89"/>
      <c r="K2" s="70"/>
      <c r="L2" s="88"/>
      <c r="M2" s="70"/>
      <c r="N2" s="88"/>
      <c r="O2" s="88"/>
      <c r="P2" s="88"/>
      <c r="Q2" s="89"/>
      <c r="R2" s="70"/>
      <c r="S2" s="70"/>
      <c r="T2" s="70"/>
      <c r="U2" s="90"/>
      <c r="X2" s="69" t="s">
        <v>104</v>
      </c>
    </row>
    <row r="3" spans="1:24" x14ac:dyDescent="0.2">
      <c r="A3" s="71" t="s">
        <v>56</v>
      </c>
      <c r="B3" s="71"/>
      <c r="C3" s="71"/>
      <c r="D3" s="71"/>
      <c r="E3" s="91"/>
      <c r="F3" s="91"/>
      <c r="G3" s="71"/>
      <c r="H3" s="91"/>
      <c r="I3" s="91"/>
      <c r="J3" s="92"/>
      <c r="K3" s="71"/>
      <c r="L3" s="91"/>
      <c r="M3" s="71"/>
      <c r="N3" s="91"/>
      <c r="O3" s="91"/>
      <c r="P3" s="91"/>
      <c r="Q3" s="92"/>
      <c r="R3" s="71"/>
      <c r="S3" s="71"/>
      <c r="T3" s="71"/>
      <c r="U3" s="93"/>
      <c r="X3" s="69" t="s">
        <v>105</v>
      </c>
    </row>
    <row r="4" spans="1:24" s="97" customFormat="1" x14ac:dyDescent="0.2">
      <c r="A4" s="80" t="s">
        <v>57</v>
      </c>
      <c r="B4" s="192">
        <f>D4+K4+R4+S4+T4+U4+C4</f>
        <v>48040</v>
      </c>
      <c r="C4" s="80">
        <v>2040</v>
      </c>
      <c r="D4" s="80">
        <f>SUM(E4:J4)</f>
        <v>16000</v>
      </c>
      <c r="E4" s="94">
        <f>4000</f>
        <v>4000</v>
      </c>
      <c r="F4" s="94">
        <f>4000</f>
        <v>4000</v>
      </c>
      <c r="G4" s="94">
        <f>1000*2</f>
        <v>2000</v>
      </c>
      <c r="H4" s="94">
        <f t="shared" ref="H4:J4" si="0">1000*2</f>
        <v>2000</v>
      </c>
      <c r="I4" s="94">
        <f t="shared" si="0"/>
        <v>2000</v>
      </c>
      <c r="J4" s="94">
        <f t="shared" si="0"/>
        <v>2000</v>
      </c>
      <c r="K4" s="80">
        <f>SUM(L4:Q4)</f>
        <v>12000</v>
      </c>
      <c r="L4" s="94">
        <f t="shared" ref="L4:Q4" si="1">1000*2</f>
        <v>2000</v>
      </c>
      <c r="M4" s="80">
        <f t="shared" si="1"/>
        <v>2000</v>
      </c>
      <c r="N4" s="94">
        <f t="shared" si="1"/>
        <v>2000</v>
      </c>
      <c r="O4" s="94">
        <f t="shared" si="1"/>
        <v>2000</v>
      </c>
      <c r="P4" s="94">
        <f t="shared" si="1"/>
        <v>2000</v>
      </c>
      <c r="Q4" s="95">
        <f t="shared" si="1"/>
        <v>2000</v>
      </c>
      <c r="R4" s="80">
        <v>13000</v>
      </c>
      <c r="S4" s="80">
        <v>2000</v>
      </c>
      <c r="T4" s="80">
        <f>1000*3</f>
        <v>3000</v>
      </c>
      <c r="U4" s="96"/>
      <c r="V4" s="97">
        <f>G4+M4+T4+U4+S4+C4</f>
        <v>11040</v>
      </c>
      <c r="W4" s="97">
        <f>5290+5750</f>
        <v>11040</v>
      </c>
    </row>
    <row r="5" spans="1:24" x14ac:dyDescent="0.2">
      <c r="A5" s="73" t="s">
        <v>84</v>
      </c>
      <c r="B5" s="73">
        <f>D5+K5+R5+S5+T5+U5</f>
        <v>0</v>
      </c>
      <c r="C5" s="73"/>
      <c r="D5" s="73">
        <f t="shared" ref="D5:D12" si="2">SUM(E5:J5)</f>
        <v>0</v>
      </c>
      <c r="E5" s="102"/>
      <c r="F5" s="102"/>
      <c r="G5" s="73"/>
      <c r="H5" s="102"/>
      <c r="I5" s="102"/>
      <c r="J5" s="103"/>
      <c r="K5" s="73">
        <f t="shared" ref="K5:K20" si="3">SUM(L5:Q5)</f>
        <v>0</v>
      </c>
      <c r="L5" s="102"/>
      <c r="M5" s="73"/>
      <c r="N5" s="102"/>
      <c r="O5" s="102"/>
      <c r="P5" s="102"/>
      <c r="Q5" s="103"/>
      <c r="R5" s="73"/>
      <c r="S5" s="73"/>
      <c r="T5" s="73"/>
      <c r="U5" s="104"/>
      <c r="V5" s="97">
        <f>G5+M5+T5+U5</f>
        <v>0</v>
      </c>
    </row>
    <row r="6" spans="1:24" s="97" customFormat="1" x14ac:dyDescent="0.2">
      <c r="A6" s="114" t="s">
        <v>58</v>
      </c>
      <c r="B6" s="114"/>
      <c r="C6" s="114"/>
      <c r="D6" s="114"/>
      <c r="E6" s="115"/>
      <c r="F6" s="115"/>
      <c r="G6" s="114"/>
      <c r="H6" s="115"/>
      <c r="I6" s="115"/>
      <c r="J6" s="116"/>
      <c r="K6" s="114"/>
      <c r="L6" s="115"/>
      <c r="M6" s="114"/>
      <c r="N6" s="115"/>
      <c r="O6" s="115"/>
      <c r="P6" s="115"/>
      <c r="Q6" s="116"/>
      <c r="R6" s="114"/>
      <c r="S6" s="114"/>
      <c r="T6" s="114"/>
      <c r="U6" s="117"/>
      <c r="V6" s="97">
        <f t="shared" ref="V6:V18" si="4">G6+M6+T6+U6</f>
        <v>0</v>
      </c>
    </row>
    <row r="7" spans="1:24" x14ac:dyDescent="0.2">
      <c r="A7" s="74" t="s">
        <v>70</v>
      </c>
      <c r="B7" s="74">
        <f t="shared" ref="B7:B12" si="5">D7+K7+R7+S7+T7+U7</f>
        <v>0</v>
      </c>
      <c r="C7" s="74"/>
      <c r="D7" s="74">
        <f t="shared" si="2"/>
        <v>0</v>
      </c>
      <c r="E7" s="106"/>
      <c r="F7" s="106"/>
      <c r="G7" s="74"/>
      <c r="H7" s="106"/>
      <c r="I7" s="106"/>
      <c r="J7" s="100"/>
      <c r="K7" s="74">
        <f t="shared" si="3"/>
        <v>0</v>
      </c>
      <c r="L7" s="106"/>
      <c r="M7" s="74"/>
      <c r="N7" s="106"/>
      <c r="O7" s="106"/>
      <c r="P7" s="106"/>
      <c r="Q7" s="100"/>
      <c r="R7" s="74"/>
      <c r="S7" s="74"/>
      <c r="T7" s="74"/>
      <c r="U7" s="101"/>
      <c r="V7" s="97">
        <f t="shared" si="4"/>
        <v>0</v>
      </c>
    </row>
    <row r="8" spans="1:24" x14ac:dyDescent="0.2">
      <c r="A8" s="74" t="s">
        <v>71</v>
      </c>
      <c r="B8" s="193">
        <f>D8+K8+R8+S8+T8+U8+C8</f>
        <v>16000</v>
      </c>
      <c r="C8" s="74">
        <v>2000</v>
      </c>
      <c r="D8" s="74">
        <f t="shared" si="2"/>
        <v>0</v>
      </c>
      <c r="E8" s="106"/>
      <c r="F8" s="106"/>
      <c r="G8" s="74"/>
      <c r="H8" s="106"/>
      <c r="I8" s="106"/>
      <c r="J8" s="100"/>
      <c r="K8" s="74">
        <f t="shared" si="3"/>
        <v>12000</v>
      </c>
      <c r="L8" s="106">
        <v>2000</v>
      </c>
      <c r="M8" s="74">
        <v>2000</v>
      </c>
      <c r="N8" s="106">
        <v>2000</v>
      </c>
      <c r="O8" s="106">
        <v>2000</v>
      </c>
      <c r="P8" s="106">
        <v>2000</v>
      </c>
      <c r="Q8" s="100">
        <v>2000</v>
      </c>
      <c r="R8" s="74"/>
      <c r="S8" s="74"/>
      <c r="T8" s="74"/>
      <c r="U8" s="101">
        <v>2000</v>
      </c>
      <c r="V8" s="97">
        <f>G8+M8+T8+U8+C8</f>
        <v>6000</v>
      </c>
    </row>
    <row r="9" spans="1:24" x14ac:dyDescent="0.2">
      <c r="A9" s="74" t="s">
        <v>85</v>
      </c>
      <c r="B9" s="193">
        <f t="shared" si="5"/>
        <v>33000</v>
      </c>
      <c r="C9" s="74"/>
      <c r="D9" s="74">
        <f t="shared" si="2"/>
        <v>0</v>
      </c>
      <c r="E9" s="106"/>
      <c r="F9" s="106"/>
      <c r="G9" s="74"/>
      <c r="H9" s="106"/>
      <c r="I9" s="106"/>
      <c r="J9" s="100"/>
      <c r="K9" s="74">
        <f>SUM(L9:Q9)</f>
        <v>33000</v>
      </c>
      <c r="L9" s="106">
        <v>5500</v>
      </c>
      <c r="M9" s="106">
        <v>5500</v>
      </c>
      <c r="N9" s="106">
        <v>5500</v>
      </c>
      <c r="O9" s="106">
        <v>5500</v>
      </c>
      <c r="P9" s="106">
        <v>5500</v>
      </c>
      <c r="Q9" s="106">
        <v>5500</v>
      </c>
      <c r="R9" s="74"/>
      <c r="S9" s="74"/>
      <c r="T9" s="74"/>
      <c r="U9" s="101"/>
      <c r="V9" s="97">
        <f>G9+M9+T9+U9</f>
        <v>5500</v>
      </c>
    </row>
    <row r="10" spans="1:24" x14ac:dyDescent="0.2">
      <c r="A10" s="74" t="s">
        <v>72</v>
      </c>
      <c r="B10" s="74">
        <f t="shared" si="5"/>
        <v>0</v>
      </c>
      <c r="C10" s="74"/>
      <c r="D10" s="74">
        <f t="shared" si="2"/>
        <v>0</v>
      </c>
      <c r="E10" s="106"/>
      <c r="F10" s="106"/>
      <c r="G10" s="74"/>
      <c r="H10" s="106"/>
      <c r="I10" s="106"/>
      <c r="J10" s="100"/>
      <c r="K10" s="74">
        <f t="shared" si="3"/>
        <v>0</v>
      </c>
      <c r="L10" s="106"/>
      <c r="M10" s="74"/>
      <c r="N10" s="106"/>
      <c r="O10" s="106"/>
      <c r="P10" s="106"/>
      <c r="Q10" s="100"/>
      <c r="R10" s="74"/>
      <c r="S10" s="74"/>
      <c r="T10" s="74"/>
      <c r="U10" s="101"/>
      <c r="V10" s="97">
        <f t="shared" si="4"/>
        <v>0</v>
      </c>
    </row>
    <row r="11" spans="1:24" x14ac:dyDescent="0.2">
      <c r="A11" s="74" t="s">
        <v>60</v>
      </c>
      <c r="B11" s="74">
        <f t="shared" si="5"/>
        <v>0</v>
      </c>
      <c r="C11" s="72"/>
      <c r="D11" s="72">
        <f t="shared" si="2"/>
        <v>0</v>
      </c>
      <c r="E11" s="105"/>
      <c r="F11" s="105"/>
      <c r="G11" s="72"/>
      <c r="H11" s="105"/>
      <c r="I11" s="105"/>
      <c r="J11" s="98"/>
      <c r="K11" s="72">
        <f t="shared" si="3"/>
        <v>0</v>
      </c>
      <c r="L11" s="105"/>
      <c r="M11" s="72"/>
      <c r="N11" s="105"/>
      <c r="O11" s="105"/>
      <c r="P11" s="105"/>
      <c r="Q11" s="98"/>
      <c r="R11" s="72"/>
      <c r="S11" s="72"/>
      <c r="T11" s="72"/>
      <c r="U11" s="99"/>
      <c r="V11" s="97">
        <f t="shared" si="4"/>
        <v>0</v>
      </c>
    </row>
    <row r="12" spans="1:24" x14ac:dyDescent="0.2">
      <c r="A12" s="74" t="s">
        <v>59</v>
      </c>
      <c r="B12" s="74">
        <f t="shared" si="5"/>
        <v>0</v>
      </c>
      <c r="C12" s="74"/>
      <c r="D12" s="74">
        <f t="shared" si="2"/>
        <v>0</v>
      </c>
      <c r="E12" s="106"/>
      <c r="F12" s="106"/>
      <c r="G12" s="74"/>
      <c r="H12" s="106"/>
      <c r="I12" s="106"/>
      <c r="J12" s="100"/>
      <c r="K12" s="74">
        <f t="shared" si="3"/>
        <v>0</v>
      </c>
      <c r="L12" s="106"/>
      <c r="M12" s="74"/>
      <c r="N12" s="106"/>
      <c r="O12" s="106"/>
      <c r="P12" s="106"/>
      <c r="Q12" s="100"/>
      <c r="R12" s="74"/>
      <c r="S12" s="74"/>
      <c r="T12" s="74"/>
      <c r="U12" s="101"/>
      <c r="V12" s="97">
        <f t="shared" si="4"/>
        <v>0</v>
      </c>
    </row>
    <row r="13" spans="1:24" s="97" customFormat="1" x14ac:dyDescent="0.2">
      <c r="A13" s="109" t="s">
        <v>61</v>
      </c>
      <c r="B13" s="109"/>
      <c r="C13" s="109"/>
      <c r="D13" s="109"/>
      <c r="E13" s="110"/>
      <c r="F13" s="110"/>
      <c r="G13" s="109"/>
      <c r="H13" s="110"/>
      <c r="I13" s="110"/>
      <c r="J13" s="111"/>
      <c r="K13" s="109"/>
      <c r="L13" s="110"/>
      <c r="M13" s="109"/>
      <c r="N13" s="110"/>
      <c r="O13" s="110"/>
      <c r="P13" s="110"/>
      <c r="Q13" s="111"/>
      <c r="R13" s="109"/>
      <c r="S13" s="109"/>
      <c r="T13" s="109"/>
      <c r="U13" s="112"/>
      <c r="V13" s="97">
        <f t="shared" si="4"/>
        <v>0</v>
      </c>
    </row>
    <row r="14" spans="1:24" x14ac:dyDescent="0.2">
      <c r="A14" s="74" t="s">
        <v>62</v>
      </c>
      <c r="B14" s="193">
        <f>D14+K14+R14+S14+T14+U14</f>
        <v>3000</v>
      </c>
      <c r="C14" s="74"/>
      <c r="D14" s="74">
        <f>SUM(E14:J14)</f>
        <v>3000</v>
      </c>
      <c r="E14" s="106">
        <v>1500</v>
      </c>
      <c r="F14" s="106">
        <v>1500</v>
      </c>
      <c r="G14" s="74"/>
      <c r="H14" s="106"/>
      <c r="I14" s="106"/>
      <c r="J14" s="100"/>
      <c r="K14" s="74">
        <f t="shared" si="3"/>
        <v>0</v>
      </c>
      <c r="L14" s="106"/>
      <c r="M14" s="74"/>
      <c r="N14" s="106"/>
      <c r="O14" s="106"/>
      <c r="P14" s="106"/>
      <c r="Q14" s="100"/>
      <c r="R14" s="74"/>
      <c r="S14" s="74"/>
      <c r="T14" s="74"/>
      <c r="U14" s="101"/>
      <c r="V14" s="97">
        <f t="shared" si="4"/>
        <v>0</v>
      </c>
    </row>
    <row r="15" spans="1:24" x14ac:dyDescent="0.2">
      <c r="A15" s="74" t="s">
        <v>63</v>
      </c>
      <c r="B15" s="194">
        <f>D15+K15+R15+S15+T15+U15</f>
        <v>0</v>
      </c>
      <c r="C15" s="74"/>
      <c r="D15" s="74">
        <f t="shared" ref="D15:D19" si="6">SUM(E15:J15)</f>
        <v>0</v>
      </c>
      <c r="E15" s="106"/>
      <c r="F15" s="106"/>
      <c r="G15" s="74"/>
      <c r="H15" s="106"/>
      <c r="I15" s="106"/>
      <c r="J15" s="100"/>
      <c r="K15" s="74">
        <f t="shared" si="3"/>
        <v>0</v>
      </c>
      <c r="L15" s="106"/>
      <c r="M15" s="74"/>
      <c r="N15" s="106"/>
      <c r="O15" s="106"/>
      <c r="P15" s="106"/>
      <c r="Q15" s="100"/>
      <c r="R15" s="74"/>
      <c r="S15" s="74"/>
      <c r="T15" s="74"/>
      <c r="U15" s="101"/>
      <c r="V15" s="97">
        <f t="shared" si="4"/>
        <v>0</v>
      </c>
    </row>
    <row r="16" spans="1:24" x14ac:dyDescent="0.2">
      <c r="A16" s="74" t="s">
        <v>64</v>
      </c>
      <c r="B16" s="193">
        <v>2000</v>
      </c>
      <c r="C16" s="74"/>
      <c r="D16" s="74">
        <f t="shared" si="6"/>
        <v>0</v>
      </c>
      <c r="E16" s="106"/>
      <c r="F16" s="106"/>
      <c r="G16" s="74"/>
      <c r="H16" s="106"/>
      <c r="I16" s="106"/>
      <c r="J16" s="100"/>
      <c r="K16" s="74">
        <f t="shared" si="3"/>
        <v>0</v>
      </c>
      <c r="L16" s="106"/>
      <c r="M16" s="74"/>
      <c r="N16" s="106"/>
      <c r="O16" s="106"/>
      <c r="P16" s="106"/>
      <c r="Q16" s="100"/>
      <c r="R16" s="74"/>
      <c r="S16" s="74"/>
      <c r="T16" s="74"/>
      <c r="U16" s="101"/>
      <c r="V16" s="97">
        <f t="shared" si="4"/>
        <v>0</v>
      </c>
    </row>
    <row r="17" spans="1:22" x14ac:dyDescent="0.2">
      <c r="A17" s="74" t="s">
        <v>65</v>
      </c>
      <c r="B17" s="74">
        <v>192</v>
      </c>
      <c r="C17" s="74"/>
      <c r="D17" s="74">
        <f t="shared" si="6"/>
        <v>0</v>
      </c>
      <c r="E17" s="106"/>
      <c r="F17" s="106"/>
      <c r="G17" s="74"/>
      <c r="H17" s="106"/>
      <c r="I17" s="106"/>
      <c r="J17" s="100"/>
      <c r="K17" s="74">
        <f t="shared" si="3"/>
        <v>0</v>
      </c>
      <c r="L17" s="106"/>
      <c r="M17" s="74"/>
      <c r="N17" s="106"/>
      <c r="O17" s="106"/>
      <c r="P17" s="106"/>
      <c r="Q17" s="100"/>
      <c r="R17" s="74"/>
      <c r="S17" s="74"/>
      <c r="T17" s="74"/>
      <c r="U17" s="101"/>
      <c r="V17" s="97">
        <f t="shared" si="4"/>
        <v>0</v>
      </c>
    </row>
    <row r="18" spans="1:22" s="97" customFormat="1" x14ac:dyDescent="0.2">
      <c r="A18" s="109" t="s">
        <v>66</v>
      </c>
      <c r="B18" s="109"/>
      <c r="C18" s="113"/>
      <c r="D18" s="113"/>
      <c r="E18" s="110"/>
      <c r="F18" s="110"/>
      <c r="G18" s="109"/>
      <c r="H18" s="110"/>
      <c r="I18" s="110"/>
      <c r="J18" s="111"/>
      <c r="K18" s="109"/>
      <c r="L18" s="110"/>
      <c r="M18" s="109"/>
      <c r="N18" s="110"/>
      <c r="O18" s="110"/>
      <c r="P18" s="110"/>
      <c r="Q18" s="111"/>
      <c r="R18" s="109"/>
      <c r="S18" s="109"/>
      <c r="T18" s="109"/>
      <c r="U18" s="112"/>
      <c r="V18" s="97">
        <f t="shared" si="4"/>
        <v>0</v>
      </c>
    </row>
    <row r="19" spans="1:22" x14ac:dyDescent="0.2">
      <c r="A19" s="74" t="s">
        <v>67</v>
      </c>
      <c r="B19" s="193">
        <f>D19+K19+R19+S19+T19+U19</f>
        <v>3300</v>
      </c>
      <c r="C19" s="74"/>
      <c r="D19" s="74">
        <f t="shared" si="6"/>
        <v>900</v>
      </c>
      <c r="E19" s="106"/>
      <c r="F19" s="106"/>
      <c r="G19" s="74"/>
      <c r="H19" s="106"/>
      <c r="I19" s="106"/>
      <c r="J19" s="100">
        <v>900</v>
      </c>
      <c r="K19" s="74">
        <f t="shared" si="3"/>
        <v>0</v>
      </c>
      <c r="L19" s="106"/>
      <c r="M19" s="74"/>
      <c r="N19" s="106"/>
      <c r="O19" s="106"/>
      <c r="P19" s="106"/>
      <c r="Q19" s="100"/>
      <c r="R19" s="74"/>
      <c r="S19" s="74">
        <v>2400</v>
      </c>
      <c r="T19" s="74"/>
      <c r="U19" s="101"/>
      <c r="V19" s="97">
        <f>G19+M19+T19+U19+S19</f>
        <v>2400</v>
      </c>
    </row>
    <row r="20" spans="1:22" x14ac:dyDescent="0.2">
      <c r="A20" s="74" t="s">
        <v>68</v>
      </c>
      <c r="B20" s="141">
        <f>D20+K20+R20+S20+T20+U20</f>
        <v>2000</v>
      </c>
      <c r="C20" s="74"/>
      <c r="D20" s="74">
        <f>SUM(E20:J20)</f>
        <v>2000</v>
      </c>
      <c r="E20" s="106"/>
      <c r="F20" s="106"/>
      <c r="G20" s="74"/>
      <c r="H20" s="106"/>
      <c r="I20" s="106"/>
      <c r="J20" s="100">
        <v>2000</v>
      </c>
      <c r="K20" s="74">
        <f t="shared" si="3"/>
        <v>0</v>
      </c>
      <c r="L20" s="106"/>
      <c r="M20" s="74"/>
      <c r="N20" s="106"/>
      <c r="O20" s="106"/>
      <c r="P20" s="106"/>
      <c r="Q20" s="100"/>
      <c r="R20" s="74"/>
      <c r="S20" s="74"/>
      <c r="T20" s="74"/>
      <c r="U20" s="101"/>
      <c r="V20" s="97">
        <f>G20+M20+T20+U20</f>
        <v>0</v>
      </c>
    </row>
    <row r="21" spans="1:22" s="97" customFormat="1" x14ac:dyDescent="0.2">
      <c r="A21" s="80" t="s">
        <v>83</v>
      </c>
      <c r="B21" s="80">
        <f>SUM(B6:B20)</f>
        <v>59492</v>
      </c>
      <c r="C21" s="80">
        <f t="shared" ref="C21" si="7">SUM(C6:C20)</f>
        <v>2000</v>
      </c>
      <c r="D21" s="80">
        <f t="shared" ref="D21:U21" si="8">SUM(D6:D20)</f>
        <v>5900</v>
      </c>
      <c r="E21" s="80">
        <f t="shared" si="8"/>
        <v>1500</v>
      </c>
      <c r="F21" s="80">
        <f t="shared" si="8"/>
        <v>1500</v>
      </c>
      <c r="G21" s="80">
        <f t="shared" si="8"/>
        <v>0</v>
      </c>
      <c r="H21" s="80">
        <f t="shared" si="8"/>
        <v>0</v>
      </c>
      <c r="I21" s="80">
        <f t="shared" si="8"/>
        <v>0</v>
      </c>
      <c r="J21" s="80">
        <f t="shared" si="8"/>
        <v>2900</v>
      </c>
      <c r="K21" s="80">
        <f>SUM(K6:K20)</f>
        <v>45000</v>
      </c>
      <c r="L21" s="80">
        <f t="shared" si="8"/>
        <v>7500</v>
      </c>
      <c r="M21" s="80">
        <f t="shared" si="8"/>
        <v>7500</v>
      </c>
      <c r="N21" s="80">
        <f t="shared" si="8"/>
        <v>7500</v>
      </c>
      <c r="O21" s="80">
        <f t="shared" si="8"/>
        <v>7500</v>
      </c>
      <c r="P21" s="80">
        <f t="shared" si="8"/>
        <v>7500</v>
      </c>
      <c r="Q21" s="80">
        <f t="shared" si="8"/>
        <v>7500</v>
      </c>
      <c r="R21" s="80">
        <f t="shared" si="8"/>
        <v>0</v>
      </c>
      <c r="S21" s="80">
        <f t="shared" si="8"/>
        <v>2400</v>
      </c>
      <c r="T21" s="80">
        <f t="shared" si="8"/>
        <v>0</v>
      </c>
      <c r="U21" s="80">
        <f t="shared" si="8"/>
        <v>2000</v>
      </c>
    </row>
    <row r="22" spans="1:22" s="118" customFormat="1" x14ac:dyDescent="0.2">
      <c r="A22" s="75" t="s">
        <v>74</v>
      </c>
      <c r="B22" s="75">
        <f>SUM(B4+B21)</f>
        <v>107532</v>
      </c>
      <c r="C22" s="75">
        <f>SUM(C4+C21)</f>
        <v>4040</v>
      </c>
      <c r="D22" s="75">
        <f>SUM(D4+D21)</f>
        <v>21900</v>
      </c>
      <c r="E22" s="75">
        <f t="shared" ref="E22:T22" si="9">SUM(E4+E21)</f>
        <v>5500</v>
      </c>
      <c r="F22" s="75">
        <f t="shared" si="9"/>
        <v>5500</v>
      </c>
      <c r="G22" s="75">
        <f t="shared" si="9"/>
        <v>2000</v>
      </c>
      <c r="H22" s="75">
        <f t="shared" si="9"/>
        <v>2000</v>
      </c>
      <c r="I22" s="75">
        <f t="shared" si="9"/>
        <v>2000</v>
      </c>
      <c r="J22" s="75">
        <f t="shared" si="9"/>
        <v>4900</v>
      </c>
      <c r="K22" s="75">
        <f t="shared" si="9"/>
        <v>57000</v>
      </c>
      <c r="L22" s="75">
        <f t="shared" si="9"/>
        <v>9500</v>
      </c>
      <c r="M22" s="75">
        <f t="shared" si="9"/>
        <v>9500</v>
      </c>
      <c r="N22" s="75">
        <f t="shared" si="9"/>
        <v>9500</v>
      </c>
      <c r="O22" s="75">
        <f t="shared" si="9"/>
        <v>9500</v>
      </c>
      <c r="P22" s="75">
        <f t="shared" si="9"/>
        <v>9500</v>
      </c>
      <c r="Q22" s="75">
        <f t="shared" si="9"/>
        <v>9500</v>
      </c>
      <c r="R22" s="75">
        <f t="shared" si="9"/>
        <v>13000</v>
      </c>
      <c r="S22" s="75">
        <f t="shared" si="9"/>
        <v>4400</v>
      </c>
      <c r="T22" s="75">
        <f t="shared" si="9"/>
        <v>3000</v>
      </c>
      <c r="U22" s="75">
        <f>SUM(U4+U21)</f>
        <v>2000</v>
      </c>
      <c r="V22" s="97">
        <f>SUM(V4:V21)</f>
        <v>24940</v>
      </c>
    </row>
    <row r="23" spans="1:22" s="118" customFormat="1" x14ac:dyDescent="0.2">
      <c r="A23" s="118" t="s">
        <v>86</v>
      </c>
      <c r="B23" s="118">
        <f>(A1-V22)*4%</f>
        <v>3469.08</v>
      </c>
      <c r="C23" s="119"/>
      <c r="D23" s="119"/>
      <c r="E23" s="120"/>
      <c r="F23" s="120"/>
      <c r="G23" s="120"/>
      <c r="H23" s="120"/>
      <c r="I23" s="120"/>
      <c r="J23" s="121"/>
      <c r="K23" s="119"/>
      <c r="L23" s="120"/>
      <c r="M23" s="120"/>
      <c r="N23" s="120"/>
      <c r="O23" s="120"/>
      <c r="P23" s="120"/>
      <c r="Q23" s="121"/>
      <c r="R23" s="119"/>
      <c r="S23" s="119"/>
      <c r="T23" s="119"/>
      <c r="U23" s="120"/>
      <c r="V23" s="118">
        <v>560</v>
      </c>
    </row>
    <row r="24" spans="1:22" s="118" customFormat="1" x14ac:dyDescent="0.2">
      <c r="A24" s="118" t="s">
        <v>87</v>
      </c>
      <c r="B24" s="118">
        <f>A1-(B22+B23)</f>
        <v>665.91999999999825</v>
      </c>
      <c r="C24" s="119"/>
      <c r="D24" s="119"/>
      <c r="E24" s="120"/>
      <c r="F24" s="120"/>
      <c r="G24" s="120"/>
      <c r="H24" s="120"/>
      <c r="I24" s="120"/>
      <c r="J24" s="121"/>
      <c r="K24" s="119"/>
      <c r="L24" s="120"/>
      <c r="M24" s="120"/>
      <c r="N24" s="120"/>
      <c r="O24" s="120"/>
      <c r="P24" s="120"/>
      <c r="Q24" s="121"/>
      <c r="R24" s="119"/>
      <c r="S24" s="119"/>
      <c r="T24" s="119"/>
      <c r="U24" s="120"/>
    </row>
    <row r="25" spans="1:22" x14ac:dyDescent="0.2">
      <c r="V25" s="69">
        <f>V23+V22</f>
        <v>25500</v>
      </c>
    </row>
  </sheetData>
  <conditionalFormatting sqref="B24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F7C99-0AD5-BE41-A5DC-0AB35B0B604B}">
  <dimension ref="A1:L28"/>
  <sheetViews>
    <sheetView zoomScale="112" zoomScaleNormal="130" workbookViewId="0">
      <selection activeCell="G21" sqref="G21"/>
    </sheetView>
  </sheetViews>
  <sheetFormatPr baseColWidth="10" defaultRowHeight="16" x14ac:dyDescent="0.2"/>
  <cols>
    <col min="1" max="1" width="31.83203125" customWidth="1"/>
    <col min="2" max="2" width="11" bestFit="1" customWidth="1"/>
    <col min="3" max="3" width="11.5" bestFit="1" customWidth="1"/>
    <col min="4" max="4" width="11" bestFit="1" customWidth="1"/>
    <col min="5" max="5" width="11.33203125" bestFit="1" customWidth="1"/>
    <col min="6" max="9" width="11" bestFit="1" customWidth="1"/>
  </cols>
  <sheetData>
    <row r="1" spans="1:11" x14ac:dyDescent="0.2">
      <c r="B1" s="213" t="s">
        <v>88</v>
      </c>
      <c r="C1" s="214"/>
      <c r="D1" s="214"/>
      <c r="E1" s="142">
        <f>124500+38000</f>
        <v>162500</v>
      </c>
      <c r="F1" s="213" t="s">
        <v>89</v>
      </c>
      <c r="G1" s="214"/>
      <c r="H1" s="142">
        <v>25500</v>
      </c>
    </row>
    <row r="2" spans="1:11" ht="17" thickBot="1" x14ac:dyDescent="0.25">
      <c r="B2" s="143" t="s">
        <v>75</v>
      </c>
      <c r="C2" s="144" t="s">
        <v>112</v>
      </c>
      <c r="D2" s="145" t="s">
        <v>76</v>
      </c>
      <c r="E2" s="146" t="s">
        <v>90</v>
      </c>
      <c r="F2" s="147"/>
      <c r="H2" s="148"/>
    </row>
    <row r="3" spans="1:11" ht="17" x14ac:dyDescent="0.2">
      <c r="A3" s="149" t="s">
        <v>120</v>
      </c>
      <c r="B3" s="150"/>
      <c r="C3" s="151"/>
      <c r="D3" s="152"/>
      <c r="E3" s="153">
        <f>E4+E5</f>
        <v>81535</v>
      </c>
      <c r="F3" s="150"/>
      <c r="G3" s="151"/>
      <c r="H3" s="154">
        <f>H4+H5</f>
        <v>11040</v>
      </c>
    </row>
    <row r="4" spans="1:11" x14ac:dyDescent="0.2">
      <c r="A4" s="155" t="s">
        <v>118</v>
      </c>
      <c r="B4" s="156">
        <v>2975</v>
      </c>
      <c r="C4" s="157"/>
      <c r="D4" s="158">
        <v>23</v>
      </c>
      <c r="E4" s="159">
        <f>B4*D4</f>
        <v>68425</v>
      </c>
      <c r="F4" s="156">
        <v>250</v>
      </c>
      <c r="G4" s="158">
        <v>23</v>
      </c>
      <c r="H4" s="159">
        <f>F4*G4</f>
        <v>5750</v>
      </c>
    </row>
    <row r="5" spans="1:11" x14ac:dyDescent="0.2">
      <c r="A5" s="155" t="s">
        <v>121</v>
      </c>
      <c r="B5" s="160">
        <v>570</v>
      </c>
      <c r="C5" s="161"/>
      <c r="D5" s="162">
        <v>23</v>
      </c>
      <c r="E5" s="163">
        <f t="shared" ref="E5" si="0">B5*D5</f>
        <v>13110</v>
      </c>
      <c r="F5" s="160">
        <v>230</v>
      </c>
      <c r="G5" s="162">
        <v>23</v>
      </c>
      <c r="H5" s="163">
        <f>F5*G5</f>
        <v>5290</v>
      </c>
    </row>
    <row r="6" spans="1:11" ht="17" x14ac:dyDescent="0.2">
      <c r="A6" s="164" t="s">
        <v>122</v>
      </c>
      <c r="B6" s="150"/>
      <c r="C6" s="151"/>
      <c r="D6" s="152"/>
      <c r="E6" s="153"/>
      <c r="F6" s="150"/>
      <c r="G6" s="151"/>
      <c r="H6" s="165"/>
    </row>
    <row r="7" spans="1:11" ht="17" x14ac:dyDescent="0.2">
      <c r="A7" s="164" t="s">
        <v>123</v>
      </c>
      <c r="B7" s="150"/>
      <c r="C7" s="151"/>
      <c r="D7" s="152"/>
      <c r="E7" s="153"/>
      <c r="F7" s="150"/>
      <c r="G7" s="151"/>
      <c r="H7" s="165"/>
    </row>
    <row r="8" spans="1:11" ht="17" x14ac:dyDescent="0.2">
      <c r="A8" s="164" t="s">
        <v>124</v>
      </c>
      <c r="B8" s="150"/>
      <c r="C8" s="151"/>
      <c r="D8" s="152"/>
      <c r="E8" s="153">
        <f>SUM(E9:E12)</f>
        <v>22604.033333333333</v>
      </c>
      <c r="F8" s="150"/>
      <c r="G8" s="151"/>
      <c r="H8" s="154">
        <f>SUM(H9:H12)</f>
        <v>6000</v>
      </c>
    </row>
    <row r="9" spans="1:11" x14ac:dyDescent="0.2">
      <c r="A9" s="155" t="s">
        <v>82</v>
      </c>
      <c r="B9" s="166">
        <v>750</v>
      </c>
      <c r="C9" s="167"/>
      <c r="D9" s="168">
        <v>23</v>
      </c>
      <c r="E9" s="169">
        <f t="shared" ref="E9" si="1">B9*D9</f>
        <v>17250</v>
      </c>
      <c r="F9" s="166"/>
      <c r="G9" s="168"/>
      <c r="H9" s="169">
        <f t="shared" ref="H9:H12" si="2">F9*G9</f>
        <v>0</v>
      </c>
    </row>
    <row r="10" spans="1:11" x14ac:dyDescent="0.2">
      <c r="A10" s="155" t="s">
        <v>91</v>
      </c>
      <c r="B10" s="166"/>
      <c r="C10" s="167"/>
      <c r="D10" s="168"/>
      <c r="E10" s="169"/>
      <c r="F10" s="166">
        <v>6000</v>
      </c>
      <c r="G10" s="168">
        <v>1</v>
      </c>
      <c r="H10" s="169">
        <f t="shared" si="2"/>
        <v>6000</v>
      </c>
    </row>
    <row r="11" spans="1:11" x14ac:dyDescent="0.2">
      <c r="A11" s="155" t="s">
        <v>77</v>
      </c>
      <c r="B11" s="166">
        <f>500000/3600</f>
        <v>138.88888888888889</v>
      </c>
      <c r="C11" s="167"/>
      <c r="D11" s="168">
        <v>24</v>
      </c>
      <c r="E11" s="169">
        <f>B11*D11</f>
        <v>3333.333333333333</v>
      </c>
      <c r="F11" s="166"/>
      <c r="G11" s="168"/>
      <c r="H11" s="169">
        <f t="shared" si="2"/>
        <v>0</v>
      </c>
    </row>
    <row r="12" spans="1:11" x14ac:dyDescent="0.2">
      <c r="A12" s="170" t="s">
        <v>81</v>
      </c>
      <c r="B12" s="166">
        <f>1837+(1837*10%)</f>
        <v>2020.7</v>
      </c>
      <c r="C12" s="167"/>
      <c r="D12" s="168">
        <v>1</v>
      </c>
      <c r="E12" s="169">
        <f t="shared" ref="E12" si="3">B12*D12</f>
        <v>2020.7</v>
      </c>
      <c r="F12" s="166"/>
      <c r="G12" s="168"/>
      <c r="H12" s="169">
        <f t="shared" si="2"/>
        <v>0</v>
      </c>
      <c r="I12" s="169">
        <f t="shared" ref="I12" si="4">E12+F12</f>
        <v>2020.7</v>
      </c>
      <c r="J12" s="167"/>
      <c r="K12" s="171"/>
    </row>
    <row r="13" spans="1:11" ht="17" x14ac:dyDescent="0.2">
      <c r="A13" s="164" t="s">
        <v>125</v>
      </c>
      <c r="B13" s="150"/>
      <c r="C13" s="151"/>
      <c r="D13" s="152"/>
      <c r="E13" s="153">
        <f>SUM(E14:E15)</f>
        <v>2578.38</v>
      </c>
      <c r="F13" s="150"/>
      <c r="G13" s="151"/>
      <c r="H13" s="154">
        <f>H14+H15</f>
        <v>2400</v>
      </c>
    </row>
    <row r="14" spans="1:11" x14ac:dyDescent="0.2">
      <c r="A14" s="155" t="s">
        <v>111</v>
      </c>
      <c r="B14" s="166">
        <v>600</v>
      </c>
      <c r="C14" s="167"/>
      <c r="D14" s="168">
        <v>4</v>
      </c>
      <c r="E14" s="169">
        <f>D14*B14</f>
        <v>2400</v>
      </c>
      <c r="F14" s="166">
        <v>600</v>
      </c>
      <c r="G14" s="168">
        <v>4</v>
      </c>
      <c r="H14" s="169">
        <f t="shared" ref="H14" si="5">F14*G14</f>
        <v>2400</v>
      </c>
    </row>
    <row r="15" spans="1:11" x14ac:dyDescent="0.2">
      <c r="A15" s="172" t="s">
        <v>60</v>
      </c>
      <c r="B15" s="166">
        <v>178.38</v>
      </c>
      <c r="C15" s="167">
        <v>690745</v>
      </c>
      <c r="D15" s="168">
        <v>1</v>
      </c>
      <c r="E15" s="169">
        <f>B15</f>
        <v>178.38</v>
      </c>
      <c r="F15" s="166"/>
      <c r="G15" s="168"/>
      <c r="H15" s="169"/>
      <c r="I15" s="169">
        <f t="shared" ref="I15" si="6">E15+F15</f>
        <v>178.38</v>
      </c>
    </row>
    <row r="16" spans="1:11" ht="17" x14ac:dyDescent="0.2">
      <c r="A16" s="164" t="s">
        <v>126</v>
      </c>
      <c r="B16" s="150"/>
      <c r="C16" s="151"/>
      <c r="D16" s="152"/>
      <c r="E16" s="153">
        <f t="shared" ref="E16" si="7">B16*D16</f>
        <v>0</v>
      </c>
      <c r="F16" s="150">
        <v>5500</v>
      </c>
      <c r="G16" s="151">
        <v>1</v>
      </c>
      <c r="H16" s="165">
        <f t="shared" ref="H16:H17" si="8">F16*G16</f>
        <v>5500</v>
      </c>
    </row>
    <row r="17" spans="1:12" ht="17" x14ac:dyDescent="0.2">
      <c r="A17" s="164" t="s">
        <v>127</v>
      </c>
      <c r="B17" s="150">
        <v>240</v>
      </c>
      <c r="C17" s="151"/>
      <c r="D17" s="152">
        <v>24</v>
      </c>
      <c r="E17" s="153">
        <f>B17*D17</f>
        <v>5760</v>
      </c>
      <c r="F17" s="150"/>
      <c r="G17" s="151"/>
      <c r="H17" s="165">
        <f t="shared" si="8"/>
        <v>0</v>
      </c>
      <c r="I17" s="169">
        <f t="shared" ref="I17" si="9">E17+F17</f>
        <v>5760</v>
      </c>
    </row>
    <row r="18" spans="1:12" ht="17" x14ac:dyDescent="0.2">
      <c r="A18" s="164" t="s">
        <v>128</v>
      </c>
      <c r="B18" s="150"/>
      <c r="C18" s="151"/>
      <c r="D18" s="152"/>
      <c r="E18" s="153">
        <f>SUM(E19:E20)</f>
        <v>38192.47911678638</v>
      </c>
      <c r="F18" s="150"/>
      <c r="G18" s="151"/>
      <c r="H18" s="154">
        <f>H19+H20</f>
        <v>0</v>
      </c>
    </row>
    <row r="19" spans="1:12" x14ac:dyDescent="0.2">
      <c r="A19" s="172" t="s">
        <v>73</v>
      </c>
      <c r="B19" s="166">
        <f>C19/3759</f>
        <v>192.47911678637936</v>
      </c>
      <c r="C19" s="167">
        <v>723529</v>
      </c>
      <c r="D19" s="168">
        <v>1</v>
      </c>
      <c r="E19" s="169">
        <f t="shared" ref="E19:E20" si="10">B19*D19</f>
        <v>192.47911678637936</v>
      </c>
      <c r="F19" s="166"/>
      <c r="G19" s="168"/>
      <c r="H19" s="169">
        <f t="shared" ref="H19" si="11">F19*G19</f>
        <v>0</v>
      </c>
      <c r="I19" s="169">
        <f t="shared" ref="I19:I20" si="12">E19+F19</f>
        <v>192.47911678637936</v>
      </c>
      <c r="J19" s="167"/>
      <c r="K19" s="171"/>
      <c r="L19" s="76"/>
    </row>
    <row r="20" spans="1:12" x14ac:dyDescent="0.2">
      <c r="A20" s="172" t="s">
        <v>117</v>
      </c>
      <c r="B20" s="166">
        <v>38000</v>
      </c>
      <c r="C20" s="167"/>
      <c r="D20" s="168">
        <v>1</v>
      </c>
      <c r="E20" s="169">
        <f t="shared" si="10"/>
        <v>38000</v>
      </c>
      <c r="F20" s="166"/>
      <c r="G20" s="168"/>
      <c r="H20" s="169"/>
      <c r="I20" s="169">
        <f t="shared" si="12"/>
        <v>38000</v>
      </c>
      <c r="J20" s="167"/>
      <c r="K20" s="171"/>
      <c r="L20" s="76"/>
    </row>
    <row r="21" spans="1:12" s="177" customFormat="1" ht="20" thickBot="1" x14ac:dyDescent="0.3">
      <c r="A21" s="173" t="s">
        <v>114</v>
      </c>
      <c r="B21" s="174"/>
      <c r="C21" s="175"/>
      <c r="D21" s="175"/>
      <c r="E21" s="176">
        <f>E18+E17+E16+E13+E8+E7+E6+E3</f>
        <v>150669.89245011972</v>
      </c>
      <c r="F21" s="174"/>
      <c r="G21" s="175"/>
      <c r="H21" s="176">
        <f>H18+H17+H16+H13+H8+H7+H6+H3</f>
        <v>24940</v>
      </c>
    </row>
    <row r="22" spans="1:12" ht="17" x14ac:dyDescent="0.2">
      <c r="A22" s="149" t="s">
        <v>129</v>
      </c>
      <c r="B22" s="178"/>
      <c r="C22" s="179"/>
      <c r="D22" s="180"/>
      <c r="E22" s="181"/>
      <c r="F22" s="178"/>
      <c r="G22" s="179"/>
      <c r="H22" s="181"/>
    </row>
    <row r="23" spans="1:12" x14ac:dyDescent="0.2">
      <c r="A23" s="155" t="s">
        <v>115</v>
      </c>
      <c r="B23" s="182"/>
      <c r="C23" s="183"/>
      <c r="D23" s="184"/>
      <c r="E23" s="185">
        <f>E21*0.0045-1</f>
        <v>677.01451602553868</v>
      </c>
      <c r="F23" s="182"/>
      <c r="G23" s="183"/>
      <c r="H23" s="185">
        <f>H21*0.004</f>
        <v>99.76</v>
      </c>
      <c r="I23" s="185">
        <f>I21*0.004</f>
        <v>0</v>
      </c>
      <c r="J23" s="183"/>
      <c r="K23" s="186"/>
    </row>
    <row r="24" spans="1:12" x14ac:dyDescent="0.2">
      <c r="A24" s="155" t="s">
        <v>113</v>
      </c>
      <c r="B24" s="182"/>
      <c r="C24" s="183"/>
      <c r="D24" s="184"/>
      <c r="E24" s="185">
        <f>E4*16.3%</f>
        <v>11153.275</v>
      </c>
      <c r="F24" s="182"/>
      <c r="G24" s="183"/>
      <c r="H24" s="185">
        <f>460</f>
        <v>460</v>
      </c>
      <c r="I24" s="185">
        <f>I2*12%</f>
        <v>0</v>
      </c>
      <c r="J24" s="183"/>
      <c r="K24" s="186"/>
    </row>
    <row r="25" spans="1:12" x14ac:dyDescent="0.2">
      <c r="A25" s="155" t="s">
        <v>130</v>
      </c>
      <c r="B25" s="150"/>
      <c r="C25" s="151"/>
      <c r="D25" s="152"/>
      <c r="E25" s="153"/>
      <c r="F25" s="150"/>
      <c r="G25" s="151"/>
      <c r="H25" s="153"/>
    </row>
    <row r="26" spans="1:12" s="177" customFormat="1" ht="19" x14ac:dyDescent="0.25">
      <c r="A26" s="173" t="s">
        <v>116</v>
      </c>
      <c r="B26" s="174"/>
      <c r="C26" s="175"/>
      <c r="D26" s="175"/>
      <c r="E26" s="176">
        <f>E23+E24+E25</f>
        <v>11830.289516025538</v>
      </c>
      <c r="F26" s="174"/>
      <c r="G26" s="175"/>
      <c r="H26" s="176">
        <f>H23+H24+H25</f>
        <v>559.76</v>
      </c>
    </row>
    <row r="27" spans="1:12" s="191" customFormat="1" ht="20" thickBot="1" x14ac:dyDescent="0.3">
      <c r="A27" s="187" t="s">
        <v>131</v>
      </c>
      <c r="B27" s="188"/>
      <c r="C27" s="189"/>
      <c r="D27" s="189"/>
      <c r="E27" s="190">
        <f>E26+E21</f>
        <v>162500.18196614526</v>
      </c>
      <c r="F27" s="188"/>
      <c r="G27" s="189"/>
      <c r="H27" s="190">
        <f>H26+H21</f>
        <v>25499.759999999998</v>
      </c>
    </row>
    <row r="28" spans="1:12" x14ac:dyDescent="0.2">
      <c r="E28" s="76">
        <f>E27-E20</f>
        <v>124500.18196614526</v>
      </c>
    </row>
  </sheetData>
  <mergeCells count="2">
    <mergeCell ref="B1:D1"/>
    <mergeCell ref="F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DCEE7-B8F2-8442-A74E-CDDD372959DE}">
  <dimension ref="A1:P36"/>
  <sheetViews>
    <sheetView tabSelected="1" zoomScale="112" zoomScaleNormal="130" workbookViewId="0">
      <selection activeCell="B36" sqref="B36"/>
    </sheetView>
  </sheetViews>
  <sheetFormatPr baseColWidth="10" defaultRowHeight="16" x14ac:dyDescent="0.2"/>
  <cols>
    <col min="1" max="1" width="39" customWidth="1"/>
    <col min="2" max="2" width="11" bestFit="1" customWidth="1"/>
    <col min="3" max="3" width="11.5" bestFit="1" customWidth="1"/>
    <col min="4" max="4" width="11" bestFit="1" customWidth="1"/>
    <col min="5" max="5" width="11.83203125" bestFit="1" customWidth="1"/>
    <col min="6" max="7" width="11" bestFit="1" customWidth="1"/>
    <col min="8" max="9" width="11.5" bestFit="1" customWidth="1"/>
    <col min="10" max="11" width="11.5" style="209" customWidth="1"/>
    <col min="12" max="12" width="12.5" bestFit="1" customWidth="1"/>
    <col min="13" max="13" width="13" bestFit="1" customWidth="1"/>
    <col min="16" max="16" width="12.5" bestFit="1" customWidth="1"/>
  </cols>
  <sheetData>
    <row r="1" spans="1:16" x14ac:dyDescent="0.2">
      <c r="B1" s="213" t="s">
        <v>88</v>
      </c>
      <c r="C1" s="214"/>
      <c r="D1" s="214"/>
      <c r="E1" s="142">
        <f>125000+38000</f>
        <v>163000</v>
      </c>
      <c r="F1" s="213" t="s">
        <v>89</v>
      </c>
      <c r="G1" s="214"/>
      <c r="H1" s="142">
        <v>111667</v>
      </c>
      <c r="I1" s="142"/>
      <c r="J1" s="201"/>
      <c r="K1" s="201"/>
    </row>
    <row r="2" spans="1:16" ht="17" thickBot="1" x14ac:dyDescent="0.25">
      <c r="B2" s="143" t="s">
        <v>75</v>
      </c>
      <c r="C2" s="144" t="s">
        <v>112</v>
      </c>
      <c r="D2" s="145" t="s">
        <v>76</v>
      </c>
      <c r="E2" s="146" t="s">
        <v>90</v>
      </c>
      <c r="F2" s="143" t="s">
        <v>75</v>
      </c>
      <c r="G2" s="145" t="s">
        <v>76</v>
      </c>
      <c r="H2" s="146" t="s">
        <v>119</v>
      </c>
      <c r="I2" s="146" t="s">
        <v>74</v>
      </c>
      <c r="J2" s="202"/>
      <c r="K2" s="202"/>
    </row>
    <row r="3" spans="1:16" ht="17" x14ac:dyDescent="0.2">
      <c r="A3" s="149" t="s">
        <v>120</v>
      </c>
      <c r="B3" s="150"/>
      <c r="C3" s="151"/>
      <c r="D3" s="152"/>
      <c r="E3" s="153">
        <f>E4+E5</f>
        <v>82457.3</v>
      </c>
      <c r="F3" s="150"/>
      <c r="G3" s="151"/>
      <c r="H3" s="154">
        <f>SUM(H4:H6)</f>
        <v>50791</v>
      </c>
      <c r="I3" s="154">
        <f>H3+E3</f>
        <v>133248.29999999999</v>
      </c>
      <c r="J3" s="203"/>
      <c r="K3" s="203"/>
    </row>
    <row r="4" spans="1:16" x14ac:dyDescent="0.2">
      <c r="A4" s="155" t="s">
        <v>118</v>
      </c>
      <c r="B4" s="160">
        <v>2980</v>
      </c>
      <c r="C4" s="161"/>
      <c r="D4" s="162">
        <v>23</v>
      </c>
      <c r="E4" s="163">
        <f>B4*D4</f>
        <v>68540</v>
      </c>
      <c r="F4" s="160">
        <v>295</v>
      </c>
      <c r="G4" s="162">
        <v>23</v>
      </c>
      <c r="H4" s="163">
        <f>F4*G4</f>
        <v>6785</v>
      </c>
      <c r="I4" s="163"/>
      <c r="J4" s="171">
        <f>((H4+H5+E10+E13)/3)+E14+E16+(I32/3)+H11</f>
        <v>24232.560733119626</v>
      </c>
      <c r="K4" s="171"/>
      <c r="L4" s="76">
        <f>(H4+E4)/23</f>
        <v>3275</v>
      </c>
      <c r="M4" s="76">
        <f>L4*3600</f>
        <v>11790000</v>
      </c>
      <c r="N4" s="76">
        <f>H5+H4+H3</f>
        <v>64476</v>
      </c>
      <c r="O4" s="76">
        <f>L4+B10+((E30+H30)/23)</f>
        <v>4549</v>
      </c>
      <c r="P4" s="76">
        <f>O4*3600</f>
        <v>16376400</v>
      </c>
    </row>
    <row r="5" spans="1:16" x14ac:dyDescent="0.2">
      <c r="A5" s="155" t="s">
        <v>156</v>
      </c>
      <c r="B5" s="160">
        <v>605.1</v>
      </c>
      <c r="C5" s="161"/>
      <c r="D5" s="162">
        <v>23</v>
      </c>
      <c r="E5" s="163">
        <f>B5*D5</f>
        <v>13917.300000000001</v>
      </c>
      <c r="F5" s="160">
        <v>300</v>
      </c>
      <c r="G5" s="162">
        <v>23</v>
      </c>
      <c r="H5" s="163">
        <f>F5*G5</f>
        <v>6900</v>
      </c>
      <c r="I5" s="163"/>
      <c r="J5" s="171"/>
      <c r="K5" s="171"/>
      <c r="L5" s="76">
        <f>(H5+E5)/23</f>
        <v>905.10000000000014</v>
      </c>
      <c r="M5" s="76">
        <f>L5*3700</f>
        <v>3348870.0000000005</v>
      </c>
      <c r="N5" s="76">
        <f>H6+H5+H4</f>
        <v>50791</v>
      </c>
    </row>
    <row r="6" spans="1:16" x14ac:dyDescent="0.2">
      <c r="A6" s="155" t="s">
        <v>132</v>
      </c>
      <c r="B6" s="160"/>
      <c r="C6" s="161"/>
      <c r="D6" s="162"/>
      <c r="E6" s="163"/>
      <c r="F6" s="160">
        <f>37106</f>
        <v>37106</v>
      </c>
      <c r="G6" s="162">
        <v>1</v>
      </c>
      <c r="H6" s="163">
        <f>F6*G6</f>
        <v>37106</v>
      </c>
      <c r="I6" s="163"/>
      <c r="J6" s="171"/>
      <c r="K6" s="171"/>
    </row>
    <row r="7" spans="1:16" ht="17" x14ac:dyDescent="0.2">
      <c r="A7" s="164" t="s">
        <v>122</v>
      </c>
      <c r="B7" s="150"/>
      <c r="C7" s="151"/>
      <c r="D7" s="152"/>
      <c r="E7" s="153"/>
      <c r="F7" s="150"/>
      <c r="G7" s="151"/>
      <c r="H7" s="165"/>
      <c r="I7" s="165"/>
      <c r="J7" s="204"/>
      <c r="K7" s="204"/>
    </row>
    <row r="8" spans="1:16" ht="17" x14ac:dyDescent="0.2">
      <c r="A8" s="164" t="s">
        <v>123</v>
      </c>
      <c r="B8" s="150"/>
      <c r="C8" s="151"/>
      <c r="D8" s="152"/>
      <c r="E8" s="153"/>
      <c r="F8" s="150"/>
      <c r="G8" s="151"/>
      <c r="H8" s="165"/>
      <c r="I8" s="165"/>
      <c r="J8" s="204"/>
      <c r="K8" s="204"/>
    </row>
    <row r="9" spans="1:16" ht="17" x14ac:dyDescent="0.2">
      <c r="A9" s="164" t="s">
        <v>124</v>
      </c>
      <c r="B9" s="150"/>
      <c r="C9" s="151"/>
      <c r="D9" s="152"/>
      <c r="E9" s="153">
        <f>SUM(E10:E14)</f>
        <v>22604.033333333333</v>
      </c>
      <c r="F9" s="150"/>
      <c r="G9" s="151"/>
      <c r="H9" s="154">
        <f>SUM(H10:H14)</f>
        <v>14800</v>
      </c>
      <c r="I9" s="154">
        <f>H9+E9</f>
        <v>37404.033333333333</v>
      </c>
      <c r="J9" s="203"/>
      <c r="K9" s="203"/>
    </row>
    <row r="10" spans="1:16" x14ac:dyDescent="0.2">
      <c r="A10" s="155" t="s">
        <v>82</v>
      </c>
      <c r="B10" s="166">
        <v>750</v>
      </c>
      <c r="C10" s="167"/>
      <c r="D10" s="168">
        <v>23</v>
      </c>
      <c r="E10" s="169">
        <f t="shared" ref="E10" si="0">B10*D10</f>
        <v>17250</v>
      </c>
      <c r="F10" s="166"/>
      <c r="G10" s="168"/>
      <c r="H10" s="169">
        <f t="shared" ref="H10:H14" si="1">F10*G10</f>
        <v>0</v>
      </c>
      <c r="I10" s="169"/>
      <c r="J10" s="171"/>
      <c r="K10" s="171"/>
      <c r="M10" t="s">
        <v>138</v>
      </c>
    </row>
    <row r="11" spans="1:16" x14ac:dyDescent="0.2">
      <c r="A11" s="155" t="s">
        <v>133</v>
      </c>
      <c r="B11" s="166"/>
      <c r="C11" s="167"/>
      <c r="D11" s="168"/>
      <c r="E11" s="169"/>
      <c r="F11" s="166">
        <v>4800</v>
      </c>
      <c r="G11" s="168">
        <v>1</v>
      </c>
      <c r="H11" s="169">
        <f t="shared" si="1"/>
        <v>4800</v>
      </c>
      <c r="I11" s="169"/>
      <c r="J11" s="171"/>
      <c r="K11" s="171"/>
      <c r="L11" s="76">
        <f>H11*3600</f>
        <v>17280000</v>
      </c>
      <c r="M11" s="76">
        <f>2100000+(2000000*19%)</f>
        <v>2480000</v>
      </c>
      <c r="N11">
        <f>L11/M11</f>
        <v>6.967741935483871</v>
      </c>
    </row>
    <row r="12" spans="1:16" x14ac:dyDescent="0.2">
      <c r="A12" s="155" t="s">
        <v>134</v>
      </c>
      <c r="B12" s="166"/>
      <c r="C12" s="167"/>
      <c r="D12" s="168"/>
      <c r="E12" s="169"/>
      <c r="F12" s="166">
        <v>10000</v>
      </c>
      <c r="G12" s="168">
        <v>1</v>
      </c>
      <c r="H12" s="169">
        <f t="shared" si="1"/>
        <v>10000</v>
      </c>
      <c r="I12" s="169"/>
      <c r="J12" s="171"/>
      <c r="K12" s="171"/>
    </row>
    <row r="13" spans="1:16" x14ac:dyDescent="0.2">
      <c r="A13" s="155" t="s">
        <v>77</v>
      </c>
      <c r="B13" s="166">
        <f>500000/3600</f>
        <v>138.88888888888889</v>
      </c>
      <c r="C13" s="167"/>
      <c r="D13" s="168">
        <v>24</v>
      </c>
      <c r="E13" s="169">
        <f>B13*D13</f>
        <v>3333.333333333333</v>
      </c>
      <c r="F13" s="166"/>
      <c r="G13" s="168"/>
      <c r="H13" s="169">
        <f t="shared" si="1"/>
        <v>0</v>
      </c>
      <c r="I13" s="169"/>
      <c r="J13" s="171"/>
      <c r="K13" s="171"/>
    </row>
    <row r="14" spans="1:16" x14ac:dyDescent="0.2">
      <c r="A14" s="170" t="s">
        <v>81</v>
      </c>
      <c r="B14" s="166">
        <f>1837+(1837*10%)</f>
        <v>2020.7</v>
      </c>
      <c r="C14" s="167"/>
      <c r="D14" s="168">
        <v>1</v>
      </c>
      <c r="E14" s="169">
        <f t="shared" ref="E14" si="2">B14*D14</f>
        <v>2020.7</v>
      </c>
      <c r="F14" s="166"/>
      <c r="G14" s="168"/>
      <c r="H14" s="169">
        <f t="shared" si="1"/>
        <v>0</v>
      </c>
      <c r="I14" s="169"/>
      <c r="J14" s="171"/>
      <c r="K14" s="171"/>
      <c r="L14" s="167"/>
      <c r="M14" s="171"/>
    </row>
    <row r="15" spans="1:16" ht="17" x14ac:dyDescent="0.2">
      <c r="A15" s="164" t="s">
        <v>125</v>
      </c>
      <c r="B15" s="150"/>
      <c r="C15" s="151"/>
      <c r="D15" s="152"/>
      <c r="E15" s="153">
        <f>SUM(E16:E19)</f>
        <v>1778.38</v>
      </c>
      <c r="F15" s="150"/>
      <c r="G15" s="151"/>
      <c r="H15" s="154">
        <f>H16+H19+H17+H18</f>
        <v>9100</v>
      </c>
      <c r="I15" s="154">
        <f>H15+E15</f>
        <v>10878.380000000001</v>
      </c>
      <c r="J15" s="203"/>
      <c r="K15" s="203"/>
    </row>
    <row r="16" spans="1:16" x14ac:dyDescent="0.2">
      <c r="A16" s="155" t="s">
        <v>111</v>
      </c>
      <c r="B16" s="166">
        <v>400</v>
      </c>
      <c r="C16" s="167"/>
      <c r="D16" s="168">
        <v>4</v>
      </c>
      <c r="E16" s="169">
        <f>D16*B16</f>
        <v>1600</v>
      </c>
      <c r="F16" s="166">
        <v>200</v>
      </c>
      <c r="G16" s="168">
        <v>4</v>
      </c>
      <c r="H16" s="169">
        <f t="shared" ref="H16:H19" si="3">F16*G16</f>
        <v>800</v>
      </c>
      <c r="I16" s="169"/>
      <c r="J16" s="171">
        <f>(H16*2)/12</f>
        <v>133.33333333333334</v>
      </c>
      <c r="K16" s="171"/>
      <c r="L16" s="76"/>
    </row>
    <row r="17" spans="1:14" x14ac:dyDescent="0.2">
      <c r="A17" s="155" t="s">
        <v>157</v>
      </c>
      <c r="B17" s="166"/>
      <c r="C17" s="167"/>
      <c r="D17" s="168"/>
      <c r="E17" s="169"/>
      <c r="F17" s="166">
        <v>5000</v>
      </c>
      <c r="G17" s="168">
        <v>1</v>
      </c>
      <c r="H17" s="169">
        <f t="shared" si="3"/>
        <v>5000</v>
      </c>
      <c r="I17" s="169"/>
      <c r="J17" s="171"/>
      <c r="K17" s="171"/>
    </row>
    <row r="18" spans="1:14" x14ac:dyDescent="0.2">
      <c r="A18" s="155" t="s">
        <v>135</v>
      </c>
      <c r="B18" s="166"/>
      <c r="C18" s="167"/>
      <c r="D18" s="168"/>
      <c r="E18" s="169"/>
      <c r="F18" s="166">
        <v>3300</v>
      </c>
      <c r="G18" s="168">
        <v>1</v>
      </c>
      <c r="H18" s="169">
        <f t="shared" si="3"/>
        <v>3300</v>
      </c>
      <c r="I18" s="169"/>
      <c r="J18" s="171"/>
      <c r="K18" s="171"/>
    </row>
    <row r="19" spans="1:14" x14ac:dyDescent="0.2">
      <c r="A19" s="172" t="s">
        <v>60</v>
      </c>
      <c r="B19" s="166">
        <v>178.38</v>
      </c>
      <c r="C19" s="167">
        <v>690745</v>
      </c>
      <c r="D19" s="168">
        <v>1</v>
      </c>
      <c r="E19" s="169">
        <f>B19</f>
        <v>178.38</v>
      </c>
      <c r="F19" s="166"/>
      <c r="G19" s="168"/>
      <c r="H19" s="169">
        <f t="shared" si="3"/>
        <v>0</v>
      </c>
      <c r="I19" s="169"/>
      <c r="J19" s="171"/>
      <c r="K19" s="171"/>
    </row>
    <row r="20" spans="1:14" ht="17" x14ac:dyDescent="0.2">
      <c r="A20" s="164" t="s">
        <v>126</v>
      </c>
      <c r="B20" s="150"/>
      <c r="C20" s="151"/>
      <c r="D20" s="152"/>
      <c r="E20" s="153">
        <f t="shared" ref="E20" si="4">B20*D20</f>
        <v>0</v>
      </c>
      <c r="F20" s="150"/>
      <c r="G20" s="151"/>
      <c r="H20" s="154">
        <f>H21+H22</f>
        <v>35000</v>
      </c>
      <c r="I20" s="154">
        <f>H20+E20</f>
        <v>35000</v>
      </c>
      <c r="J20" s="203"/>
      <c r="K20" s="203"/>
    </row>
    <row r="21" spans="1:14" x14ac:dyDescent="0.2">
      <c r="A21" s="155" t="s">
        <v>136</v>
      </c>
      <c r="B21" s="166"/>
      <c r="C21" s="167"/>
      <c r="D21" s="168"/>
      <c r="E21" s="169"/>
      <c r="F21" s="166">
        <v>6000</v>
      </c>
      <c r="G21" s="168">
        <v>1</v>
      </c>
      <c r="H21" s="169">
        <f>F21*G21</f>
        <v>6000</v>
      </c>
      <c r="I21" s="169"/>
      <c r="J21" s="171"/>
      <c r="K21" s="171"/>
    </row>
    <row r="22" spans="1:14" x14ac:dyDescent="0.2">
      <c r="A22" s="155" t="s">
        <v>137</v>
      </c>
      <c r="B22" s="166"/>
      <c r="C22" s="167"/>
      <c r="D22" s="168"/>
      <c r="E22" s="169"/>
      <c r="F22" s="166">
        <f>35000-F21</f>
        <v>29000</v>
      </c>
      <c r="G22" s="168">
        <v>1</v>
      </c>
      <c r="H22" s="169">
        <f t="shared" ref="H22:H23" si="5">F22*G22</f>
        <v>29000</v>
      </c>
      <c r="I22" s="169"/>
      <c r="J22" s="171"/>
      <c r="K22" s="171"/>
    </row>
    <row r="23" spans="1:14" ht="17" x14ac:dyDescent="0.2">
      <c r="A23" s="164" t="s">
        <v>127</v>
      </c>
      <c r="B23" s="150">
        <v>240</v>
      </c>
      <c r="C23" s="151"/>
      <c r="D23" s="152">
        <v>23</v>
      </c>
      <c r="E23" s="153">
        <f>B23*D23</f>
        <v>5520</v>
      </c>
      <c r="F23" s="150"/>
      <c r="G23" s="151"/>
      <c r="H23" s="165">
        <f t="shared" si="5"/>
        <v>0</v>
      </c>
      <c r="I23" s="195">
        <f>H23+E23</f>
        <v>5520</v>
      </c>
      <c r="J23" s="205"/>
      <c r="K23" s="205"/>
    </row>
    <row r="24" spans="1:14" ht="17" x14ac:dyDescent="0.2">
      <c r="A24" s="164" t="s">
        <v>128</v>
      </c>
      <c r="B24" s="150"/>
      <c r="C24" s="151"/>
      <c r="D24" s="152"/>
      <c r="E24" s="153">
        <f>SUM(E25:E26)</f>
        <v>38192.47911678638</v>
      </c>
      <c r="F24" s="150"/>
      <c r="G24" s="151"/>
      <c r="H24" s="154">
        <f>H25+H26</f>
        <v>0</v>
      </c>
      <c r="I24" s="154">
        <f>H24+E24</f>
        <v>38192.47911678638</v>
      </c>
      <c r="J24" s="203"/>
      <c r="K24" s="203"/>
    </row>
    <row r="25" spans="1:14" x14ac:dyDescent="0.2">
      <c r="A25" s="172" t="s">
        <v>73</v>
      </c>
      <c r="B25" s="166">
        <f>C25/3759</f>
        <v>192.47911678637936</v>
      </c>
      <c r="C25" s="167">
        <v>723529</v>
      </c>
      <c r="D25" s="168">
        <v>1</v>
      </c>
      <c r="E25" s="169">
        <f t="shared" ref="E25:E26" si="6">B25*D25</f>
        <v>192.47911678637936</v>
      </c>
      <c r="F25" s="166"/>
      <c r="G25" s="168"/>
      <c r="H25" s="169">
        <f t="shared" ref="H25" si="7">F25*G25</f>
        <v>0</v>
      </c>
      <c r="I25" s="169"/>
      <c r="J25" s="171"/>
      <c r="K25" s="171"/>
      <c r="L25" s="167"/>
      <c r="M25" s="171"/>
      <c r="N25" s="76"/>
    </row>
    <row r="26" spans="1:14" x14ac:dyDescent="0.2">
      <c r="A26" s="172" t="s">
        <v>117</v>
      </c>
      <c r="B26" s="166">
        <v>38000</v>
      </c>
      <c r="C26" s="167"/>
      <c r="D26" s="168">
        <v>1</v>
      </c>
      <c r="E26" s="169">
        <f t="shared" si="6"/>
        <v>38000</v>
      </c>
      <c r="F26" s="166"/>
      <c r="G26" s="168"/>
      <c r="H26" s="169"/>
      <c r="I26" s="169"/>
      <c r="J26" s="171"/>
      <c r="K26" s="171"/>
      <c r="L26" s="167"/>
      <c r="M26" s="171"/>
      <c r="N26" s="76"/>
    </row>
    <row r="27" spans="1:14" s="177" customFormat="1" ht="20" thickBot="1" x14ac:dyDescent="0.3">
      <c r="A27" s="173" t="s">
        <v>114</v>
      </c>
      <c r="B27" s="174"/>
      <c r="C27" s="175"/>
      <c r="D27" s="175"/>
      <c r="E27" s="176">
        <f>E24+E23+E20+E15+E9+E8+E7+E3</f>
        <v>150552.19245011971</v>
      </c>
      <c r="F27" s="174"/>
      <c r="G27" s="175"/>
      <c r="H27" s="176">
        <f>H24+H23+H20+H15+H9+H8+H7+H3</f>
        <v>109691</v>
      </c>
      <c r="I27" s="176">
        <f>H27+E27</f>
        <v>260243.19245011971</v>
      </c>
      <c r="J27" s="206"/>
      <c r="K27" s="206"/>
    </row>
    <row r="28" spans="1:14" ht="17" x14ac:dyDescent="0.2">
      <c r="A28" s="149" t="s">
        <v>129</v>
      </c>
      <c r="B28" s="178"/>
      <c r="C28" s="179"/>
      <c r="D28" s="180"/>
      <c r="E28" s="181"/>
      <c r="F28" s="178"/>
      <c r="G28" s="179"/>
      <c r="H28" s="181"/>
      <c r="I28" s="181"/>
      <c r="J28" s="207"/>
      <c r="K28" s="207"/>
    </row>
    <row r="29" spans="1:14" x14ac:dyDescent="0.2">
      <c r="A29" s="155" t="s">
        <v>115</v>
      </c>
      <c r="B29" s="182"/>
      <c r="C29" s="183"/>
      <c r="D29" s="184"/>
      <c r="E29" s="185">
        <f>E27*0.0045-1</f>
        <v>676.48486602553862</v>
      </c>
      <c r="F29" s="182"/>
      <c r="G29" s="183"/>
      <c r="H29" s="185">
        <f>H27*0.004</f>
        <v>438.76400000000001</v>
      </c>
      <c r="I29" s="185"/>
      <c r="J29" s="208"/>
      <c r="K29" s="208"/>
      <c r="L29" s="183"/>
      <c r="M29" s="186"/>
    </row>
    <row r="30" spans="1:14" x14ac:dyDescent="0.2">
      <c r="A30" s="155" t="s">
        <v>113</v>
      </c>
      <c r="B30" s="182"/>
      <c r="C30" s="183"/>
      <c r="D30" s="184"/>
      <c r="E30" s="185">
        <f>E4*16%</f>
        <v>10966.4</v>
      </c>
      <c r="F30" s="182"/>
      <c r="G30" s="183"/>
      <c r="H30" s="185">
        <f>H4*16%</f>
        <v>1085.5999999999999</v>
      </c>
      <c r="I30" s="185"/>
      <c r="J30" s="208"/>
      <c r="K30" s="208"/>
      <c r="L30" s="183"/>
      <c r="M30" s="186"/>
    </row>
    <row r="31" spans="1:14" x14ac:dyDescent="0.2">
      <c r="A31" s="155" t="s">
        <v>130</v>
      </c>
      <c r="B31" s="150"/>
      <c r="C31" s="151"/>
      <c r="D31" s="152"/>
      <c r="E31" s="153"/>
      <c r="F31" s="150"/>
      <c r="G31" s="151"/>
      <c r="H31" s="153"/>
      <c r="I31" s="153"/>
      <c r="J31" s="207"/>
      <c r="K31" s="207"/>
    </row>
    <row r="32" spans="1:14" s="177" customFormat="1" ht="19" x14ac:dyDescent="0.25">
      <c r="A32" s="173" t="s">
        <v>116</v>
      </c>
      <c r="B32" s="174"/>
      <c r="C32" s="175"/>
      <c r="D32" s="175"/>
      <c r="E32" s="176">
        <f>E29+E30+E31</f>
        <v>11642.884866025539</v>
      </c>
      <c r="F32" s="174"/>
      <c r="G32" s="175"/>
      <c r="H32" s="176">
        <f>H29+H30+H31</f>
        <v>1524.364</v>
      </c>
      <c r="I32" s="176">
        <f>H32+E32</f>
        <v>13167.248866025539</v>
      </c>
      <c r="J32" s="206"/>
      <c r="K32" s="206"/>
    </row>
    <row r="33" spans="1:11" s="191" customFormat="1" ht="20" thickBot="1" x14ac:dyDescent="0.3">
      <c r="A33" s="187" t="s">
        <v>131</v>
      </c>
      <c r="B33" s="188"/>
      <c r="C33" s="189"/>
      <c r="D33" s="189"/>
      <c r="E33" s="190">
        <f>E32+E27</f>
        <v>162195.07731614524</v>
      </c>
      <c r="F33" s="188"/>
      <c r="G33" s="189"/>
      <c r="H33" s="190">
        <f>H32+H27</f>
        <v>111215.364</v>
      </c>
      <c r="I33" s="190">
        <f>H33+E33</f>
        <v>273410.44131614524</v>
      </c>
      <c r="J33" s="206"/>
      <c r="K33" s="206"/>
    </row>
    <row r="34" spans="1:11" s="191" customFormat="1" ht="20" thickBot="1" x14ac:dyDescent="0.3">
      <c r="A34" s="196" t="s">
        <v>139</v>
      </c>
      <c r="B34" s="197"/>
      <c r="C34" s="198"/>
      <c r="D34" s="198"/>
      <c r="E34" s="199">
        <f>E1-E33</f>
        <v>804.922683854762</v>
      </c>
      <c r="F34" s="197"/>
      <c r="G34" s="198"/>
      <c r="H34" s="199">
        <f>H1-H33</f>
        <v>451.6359999999986</v>
      </c>
      <c r="I34" s="199">
        <f>E34+H34</f>
        <v>1256.5586838547606</v>
      </c>
      <c r="J34" s="206"/>
      <c r="K34" s="206"/>
    </row>
    <row r="36" spans="1:11" x14ac:dyDescent="0.2">
      <c r="E36" s="76"/>
    </row>
  </sheetData>
  <mergeCells count="2">
    <mergeCell ref="B1:D1"/>
    <mergeCell ref="F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Timeline</vt:lpstr>
      <vt:lpstr>Budget SWG</vt:lpstr>
      <vt:lpstr>URG</vt:lpstr>
      <vt:lpstr>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URG</dc:creator>
  <cp:lastModifiedBy>URG</cp:lastModifiedBy>
  <dcterms:created xsi:type="dcterms:W3CDTF">2022-03-22T15:34:22Z</dcterms:created>
  <dcterms:modified xsi:type="dcterms:W3CDTF">2022-05-25T14:51:58Z</dcterms:modified>
</cp:coreProperties>
</file>